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R-FINANCIEROS\Desktop\INFORMACION 2024\ESTADOS FINANCIEROS 2024\ESTADOS FINANCIEROS DICIEMBRE 2024\EXCEL INFORMACION CONTABLE, PRESUPUESTAL Y PROGRAMATICA\"/>
    </mc:Choice>
  </mc:AlternateContent>
  <xr:revisionPtr revIDLastSave="0" documentId="8_{B23DAA8B-97BB-4827-8949-9856852E48B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Area" localSheetId="0">Hoja1!$A$1:$S$82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2" i="1" l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72" i="1"/>
  <c r="Q67" i="1"/>
  <c r="Q68" i="1"/>
  <c r="Q69" i="1"/>
  <c r="Q70" i="1"/>
  <c r="Q71" i="1"/>
  <c r="Q66" i="1"/>
  <c r="P69" i="1"/>
  <c r="P70" i="1"/>
  <c r="N72" i="1"/>
  <c r="N76" i="1" s="1"/>
  <c r="N37" i="1"/>
  <c r="N22" i="1"/>
  <c r="N17" i="1"/>
  <c r="N15" i="1"/>
  <c r="N13" i="1"/>
  <c r="N12" i="1"/>
  <c r="N62" i="1"/>
  <c r="N67" i="1"/>
  <c r="N66" i="1"/>
  <c r="N69" i="1"/>
  <c r="O71" i="1"/>
  <c r="P72" i="1"/>
  <c r="O70" i="1"/>
  <c r="O69" i="1"/>
  <c r="P68" i="1"/>
  <c r="O68" i="1"/>
  <c r="O66" i="1"/>
  <c r="O65" i="1"/>
  <c r="P63" i="1"/>
  <c r="O63" i="1"/>
  <c r="P61" i="1"/>
  <c r="O61" i="1"/>
  <c r="P54" i="1"/>
  <c r="O54" i="1"/>
  <c r="O50" i="1"/>
  <c r="P49" i="1"/>
  <c r="O49" i="1"/>
  <c r="P48" i="1"/>
  <c r="O48" i="1"/>
  <c r="P47" i="1"/>
  <c r="O46" i="1"/>
  <c r="P45" i="1"/>
  <c r="O45" i="1"/>
  <c r="P43" i="1"/>
  <c r="O43" i="1"/>
  <c r="O42" i="1"/>
  <c r="P41" i="1"/>
  <c r="O41" i="1"/>
  <c r="O40" i="1"/>
  <c r="P38" i="1"/>
  <c r="O38" i="1"/>
  <c r="O36" i="1"/>
  <c r="P35" i="1"/>
  <c r="O35" i="1"/>
  <c r="P33" i="1"/>
  <c r="O33" i="1"/>
  <c r="P32" i="1"/>
  <c r="O32" i="1"/>
  <c r="O31" i="1"/>
  <c r="P30" i="1"/>
  <c r="O30" i="1"/>
  <c r="P29" i="1"/>
  <c r="O29" i="1"/>
  <c r="P28" i="1"/>
  <c r="O28" i="1"/>
  <c r="P27" i="1"/>
  <c r="O27" i="1"/>
  <c r="P26" i="1"/>
  <c r="O26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3" i="1"/>
  <c r="O13" i="1"/>
  <c r="P71" i="1"/>
  <c r="O67" i="1"/>
  <c r="P59" i="1"/>
  <c r="O59" i="1"/>
  <c r="P58" i="1"/>
  <c r="O58" i="1"/>
  <c r="P57" i="1"/>
  <c r="O57" i="1"/>
  <c r="P56" i="1"/>
  <c r="O56" i="1"/>
  <c r="P55" i="1"/>
  <c r="O55" i="1"/>
  <c r="P53" i="1"/>
  <c r="O53" i="1"/>
  <c r="P52" i="1"/>
  <c r="O52" i="1"/>
  <c r="P51" i="1"/>
  <c r="O51" i="1"/>
  <c r="P50" i="1"/>
  <c r="O47" i="1"/>
  <c r="P46" i="1"/>
  <c r="O44" i="1"/>
  <c r="O39" i="1"/>
  <c r="P37" i="1"/>
  <c r="O37" i="1"/>
  <c r="O34" i="1"/>
  <c r="P25" i="1"/>
  <c r="O25" i="1"/>
  <c r="O24" i="1"/>
  <c r="P64" i="1"/>
  <c r="O64" i="1"/>
  <c r="N35" i="1"/>
  <c r="P34" i="1"/>
  <c r="P24" i="1"/>
  <c r="P14" i="1" l="1"/>
  <c r="O14" i="1"/>
  <c r="P12" i="1" l="1"/>
  <c r="O12" i="1"/>
  <c r="P75" i="1" l="1"/>
  <c r="O75" i="1"/>
  <c r="M72" i="1"/>
  <c r="L72" i="1"/>
  <c r="R71" i="1"/>
  <c r="M71" i="1"/>
  <c r="L71" i="1"/>
  <c r="M70" i="1"/>
  <c r="L70" i="1"/>
  <c r="M69" i="1"/>
  <c r="L69" i="1"/>
  <c r="R68" i="1"/>
  <c r="M68" i="1"/>
  <c r="L68" i="1"/>
  <c r="R67" i="1"/>
  <c r="M67" i="1"/>
  <c r="L67" i="1"/>
  <c r="R66" i="1"/>
  <c r="M66" i="1"/>
  <c r="L66" i="1"/>
  <c r="R65" i="1"/>
  <c r="Q65" i="1"/>
  <c r="M65" i="1"/>
  <c r="L65" i="1"/>
  <c r="R64" i="1"/>
  <c r="Q64" i="1"/>
  <c r="M64" i="1"/>
  <c r="L64" i="1"/>
  <c r="R63" i="1"/>
  <c r="M63" i="1"/>
  <c r="L63" i="1"/>
  <c r="R62" i="1"/>
  <c r="M62" i="1"/>
  <c r="L62" i="1"/>
  <c r="R61" i="1"/>
  <c r="M61" i="1"/>
  <c r="L61" i="1"/>
  <c r="L60" i="1"/>
  <c r="R59" i="1"/>
  <c r="L59" i="1"/>
  <c r="R58" i="1"/>
  <c r="L58" i="1"/>
  <c r="L57" i="1"/>
  <c r="R56" i="1"/>
  <c r="L56" i="1"/>
  <c r="L55" i="1"/>
  <c r="R54" i="1"/>
  <c r="L54" i="1"/>
  <c r="M53" i="1"/>
  <c r="L53" i="1"/>
  <c r="R52" i="1"/>
  <c r="K52" i="1"/>
  <c r="J52" i="1"/>
  <c r="M51" i="1"/>
  <c r="L51" i="1"/>
  <c r="R50" i="1"/>
  <c r="M50" i="1"/>
  <c r="L50" i="1"/>
  <c r="R49" i="1"/>
  <c r="K49" i="1"/>
  <c r="J49" i="1"/>
  <c r="M49" i="1" s="1"/>
  <c r="R48" i="1"/>
  <c r="M48" i="1"/>
  <c r="L48" i="1"/>
  <c r="R47" i="1"/>
  <c r="M47" i="1"/>
  <c r="L47" i="1"/>
  <c r="J46" i="1"/>
  <c r="M46" i="1" s="1"/>
  <c r="M45" i="1"/>
  <c r="L45" i="1"/>
  <c r="M44" i="1"/>
  <c r="L44" i="1"/>
  <c r="R43" i="1"/>
  <c r="M43" i="1"/>
  <c r="L43" i="1"/>
  <c r="R42" i="1"/>
  <c r="M42" i="1"/>
  <c r="L42" i="1"/>
  <c r="M41" i="1"/>
  <c r="L41" i="1"/>
  <c r="R40" i="1"/>
  <c r="M40" i="1"/>
  <c r="L40" i="1"/>
  <c r="R39" i="1"/>
  <c r="M39" i="1"/>
  <c r="L39" i="1"/>
  <c r="R38" i="1"/>
  <c r="M38" i="1"/>
  <c r="L38" i="1"/>
  <c r="R37" i="1"/>
  <c r="M37" i="1"/>
  <c r="L37" i="1"/>
  <c r="R36" i="1"/>
  <c r="K36" i="1"/>
  <c r="J36" i="1"/>
  <c r="R35" i="1"/>
  <c r="K35" i="1"/>
  <c r="J35" i="1"/>
  <c r="R34" i="1"/>
  <c r="L34" i="1"/>
  <c r="R33" i="1"/>
  <c r="L33" i="1"/>
  <c r="R32" i="1"/>
  <c r="L32" i="1"/>
  <c r="R31" i="1"/>
  <c r="L31" i="1"/>
  <c r="R30" i="1"/>
  <c r="K30" i="1"/>
  <c r="L30" i="1" s="1"/>
  <c r="R29" i="1"/>
  <c r="L29" i="1"/>
  <c r="R28" i="1"/>
  <c r="L28" i="1"/>
  <c r="R27" i="1"/>
  <c r="L27" i="1"/>
  <c r="R26" i="1"/>
  <c r="L26" i="1"/>
  <c r="R25" i="1"/>
  <c r="L25" i="1"/>
  <c r="M24" i="1"/>
  <c r="L24" i="1"/>
  <c r="R23" i="1"/>
  <c r="M23" i="1"/>
  <c r="L23" i="1"/>
  <c r="M22" i="1"/>
  <c r="L22" i="1"/>
  <c r="R21" i="1"/>
  <c r="K21" i="1"/>
  <c r="J21" i="1"/>
  <c r="R20" i="1"/>
  <c r="K20" i="1"/>
  <c r="J20" i="1"/>
  <c r="R19" i="1"/>
  <c r="K19" i="1"/>
  <c r="M19" i="1" s="1"/>
  <c r="R18" i="1"/>
  <c r="K18" i="1"/>
  <c r="J18" i="1"/>
  <c r="M17" i="1"/>
  <c r="R16" i="1"/>
  <c r="M16" i="1"/>
  <c r="R15" i="1"/>
  <c r="M15" i="1"/>
  <c r="L15" i="1"/>
  <c r="R14" i="1"/>
  <c r="M14" i="1"/>
  <c r="L14" i="1"/>
  <c r="R13" i="1"/>
  <c r="M13" i="1"/>
  <c r="L13" i="1"/>
  <c r="R12" i="1"/>
  <c r="K12" i="1"/>
  <c r="M36" i="1" l="1"/>
  <c r="M35" i="1"/>
  <c r="M52" i="1"/>
  <c r="L19" i="1"/>
  <c r="M12" i="1"/>
  <c r="M21" i="1"/>
  <c r="M20" i="1"/>
  <c r="L18" i="1"/>
  <c r="R75" i="1"/>
  <c r="L12" i="1"/>
  <c r="M18" i="1"/>
  <c r="L20" i="1"/>
  <c r="L21" i="1"/>
  <c r="L35" i="1"/>
  <c r="L36" i="1"/>
  <c r="L46" i="1"/>
  <c r="L49" i="1"/>
  <c r="L52" i="1"/>
</calcChain>
</file>

<file path=xl/sharedStrings.xml><?xml version="1.0" encoding="utf-8"?>
<sst xmlns="http://schemas.openxmlformats.org/spreadsheetml/2006/main" count="367" uniqueCount="180">
  <si>
    <t>Instituto Tecnológico Superior P´urhépecha</t>
  </si>
  <si>
    <t>RESUMEN</t>
  </si>
  <si>
    <t>Evaluación Programático Presupuestal 2024</t>
  </si>
  <si>
    <t>PLAN DE DESARROLLO INTEGRAL DEL ESTADO DE  MICHOACAN   2019-2024</t>
  </si>
  <si>
    <t>1.Desarrollo humano, educación con calidad y acceso a la salud
5.Cubrir las necesidades básicas y promover la inclusión y acceso de los más necesitados</t>
  </si>
  <si>
    <t>VISIÓN</t>
  </si>
  <si>
    <t>Ser una institución reconocida nacional o internacionalmente por su calidad en la formación de profesionales emprendedores con respeto al medio ambiente, promotores del desarrollo susntentable.</t>
  </si>
  <si>
    <t>MISIÓN</t>
  </si>
  <si>
    <t>Contribuir a la formación de mujeres y hombres líderes que impulsen el desarrollo sustentable, económico, social y cultural a través de  un sistema de educación superior integral de calidad.</t>
  </si>
  <si>
    <t xml:space="preserve"> </t>
  </si>
  <si>
    <t xml:space="preserve">OBJETIVO ESTRATÉGICO  ITS P´urhépecha </t>
  </si>
  <si>
    <t xml:space="preserve">No. </t>
  </si>
  <si>
    <t>COMPONENTE</t>
  </si>
  <si>
    <t>INDICADOR</t>
  </si>
  <si>
    <t>FÓRMULA DE CÁLCULO</t>
  </si>
  <si>
    <t>TIPO</t>
  </si>
  <si>
    <t>DIMENSIÓN</t>
  </si>
  <si>
    <t>UNIDAD DE MEDIDA</t>
  </si>
  <si>
    <t>ACUMULADA AL PERIODO</t>
  </si>
  <si>
    <t>PRESUPUESTO ANUAL AUTORIZADO ($)</t>
  </si>
  <si>
    <t>PRESUPUESTO PROGRAMADO ACUMULADO AL PERIODO ($)</t>
  </si>
  <si>
    <t>PRESUPUESTO EJERCIDO ACUMULADO AL PERIODO ($)</t>
  </si>
  <si>
    <t>DIFERENCIA ($)</t>
  </si>
  <si>
    <t>AVANCE PRESUPUESTAL (%)</t>
  </si>
  <si>
    <t>JUSTIFICACIÓN A LAS DIFERENCIAS</t>
  </si>
  <si>
    <t>PROGRAMADA</t>
  </si>
  <si>
    <t>ALCANZADA</t>
  </si>
  <si>
    <t>% AVANCE</t>
  </si>
  <si>
    <t>DIFERENCIA</t>
  </si>
  <si>
    <t>1. Fortalecer la calidad del servicio educativo</t>
  </si>
  <si>
    <t xml:space="preserve">Porcentaje de estudiantes de licenciatura inscritos en programas acreditados o reconocidos por su calidad. </t>
  </si>
  <si>
    <t xml:space="preserve">(Número de estudiantes de licenciatura que realizan sus estudios en programas acreditados o reconocidos por su calidad/ Total de estudiantes de licenciatura que realizan sus estudios en programas evaluables)*100. 
</t>
  </si>
  <si>
    <t xml:space="preserve">Gestión </t>
  </si>
  <si>
    <t xml:space="preserve">Ascendente </t>
  </si>
  <si>
    <t>Estudiantes de licenciatura que realizan sus estudios en programas acreditados o reconocidos por su calidad.</t>
  </si>
  <si>
    <t>NA</t>
  </si>
  <si>
    <t xml:space="preserve">Porcentaje de estudiantes de licenciatura, en programas acreditados </t>
  </si>
  <si>
    <t>(Estudiantes en programas acreditados/Matrícula en programas evaluables)*100</t>
  </si>
  <si>
    <t>Calidad</t>
  </si>
  <si>
    <t xml:space="preserve">Recomendaciones atendidas </t>
  </si>
  <si>
    <t>Porcentaje de recomendaciones atendidas para mantenimiento de acreditación  ISC</t>
  </si>
  <si>
    <t>(No. Recomendaciones atendidas  /   No. Recomendaciones indicadas por CACEI )*100</t>
  </si>
  <si>
    <t>Porcentaje de recomendaciones atendidas para mantenimiento de acreditación  IGEM</t>
  </si>
  <si>
    <t>Eficiencia terminal IIAS</t>
  </si>
  <si>
    <t>(Número de titulados en el ciclo escolar 2017-2022/matricula de nuevo ingreso en 2017)*100</t>
  </si>
  <si>
    <t>Eficiencia</t>
  </si>
  <si>
    <t>Estudiantes de cohorte 2018-2023 titulados</t>
  </si>
  <si>
    <t>Modelo educativo fortalecido</t>
  </si>
  <si>
    <t>N° alumnos inscritos en modalidades no escolarizadas/total de la matricula</t>
  </si>
  <si>
    <t>Estudiante en modalidad no escolarizada</t>
  </si>
  <si>
    <t>Criterios atendidos para la acerditación del programa IENR</t>
  </si>
  <si>
    <t>(Número de criterios atendidos del  Manual de autoevaluación  de CACEI-2018/Total de criterios establecidos por CACEI-2018)</t>
  </si>
  <si>
    <t>Criterios de CACEI-2018</t>
  </si>
  <si>
    <t>Porcentaje de recomendaciones atendidas para mantenimiento</t>
  </si>
  <si>
    <t>(No. Recomendaciones atendidas  /   No. Recomendaciones indicadas*100)</t>
  </si>
  <si>
    <t xml:space="preserve"> Porcentaje de Actividades de gestión académica de carácter estatal o nacional  </t>
  </si>
  <si>
    <t>(No. Actividades de gestión realizadas  /   No. Actividades convocadas por autoridades estatales y/o nacionales )*100</t>
  </si>
  <si>
    <t>Aplicación del 100% de disposiciones y la normatividad académica</t>
  </si>
  <si>
    <t>Afiliación a organismos académicos</t>
  </si>
  <si>
    <t xml:space="preserve">Total de afiliaciones </t>
  </si>
  <si>
    <t xml:space="preserve">Estratégico </t>
  </si>
  <si>
    <t>Afiliaciones realizadas</t>
  </si>
  <si>
    <t>Porcentaje de docentes con formación profesional</t>
  </si>
  <si>
    <t>(Docentes formados/ total de docentes )*100</t>
  </si>
  <si>
    <t xml:space="preserve">Estrategico </t>
  </si>
  <si>
    <t>Docentes en formación profesional</t>
  </si>
  <si>
    <t>CONTRATACIÒN DE REVISTAS CIENTIFICAS</t>
  </si>
  <si>
    <t>FORTALECER LOS SERVICIOS EDUCATIVOS</t>
  </si>
  <si>
    <t xml:space="preserve">Estudiantes partipantes en eventos  academicos </t>
  </si>
  <si>
    <t xml:space="preserve">(Total de estudiantes participantes en concursos académicos/Total de estudiantes inscritos en el sistema </t>
  </si>
  <si>
    <t>Estudiantes participantes en Eventos Académicos por programa</t>
  </si>
  <si>
    <t>Programa para disminuir la reprobación y deserción en licenciatura</t>
  </si>
  <si>
    <t>Prácticas realizadas</t>
  </si>
  <si>
    <t>Número de prácticas</t>
  </si>
  <si>
    <t>2. Incrementar la cobertura educativa</t>
  </si>
  <si>
    <t>Matrícula en primer semestre en educación no escolarizada –a distancia y mixta</t>
  </si>
  <si>
    <t>Total de estudiantes de nuevo ingreso  inscritos en programas de licenciatura en la modalidad no escolarizada –a distancia- y mixta.</t>
  </si>
  <si>
    <t>Alumnos de nuevo ingreso  Inscritos en los programas</t>
  </si>
  <si>
    <t>Alumnos de nuevo ingreso  Inscritos en EaD</t>
  </si>
  <si>
    <t>Examenes aplicados por el organismo evaluador</t>
  </si>
  <si>
    <t>Cantidad de examenes aplicados/cantidad de aspirantes</t>
  </si>
  <si>
    <t>Pertinencia</t>
  </si>
  <si>
    <t>Examenes aplicados</t>
  </si>
  <si>
    <t xml:space="preserve">Validacion de Títulos y Cédulas </t>
  </si>
  <si>
    <t>trámites realizados/y o trámites requeridos</t>
  </si>
  <si>
    <t xml:space="preserve">Titulos y Cédulas </t>
  </si>
  <si>
    <t>Alumno atendidos en tutoriaas</t>
  </si>
  <si>
    <t xml:space="preserve">Alumnos en programas de tutorias </t>
  </si>
  <si>
    <t>tramites realizados</t>
  </si>
  <si>
    <t>Alumnos de nuevo ingreso a posgrado</t>
  </si>
  <si>
    <t>(alumnos inscritos posgrado/20)*100</t>
  </si>
  <si>
    <t>Alumnos denuevo ingreso a posgrado</t>
  </si>
  <si>
    <t>Alumnos en Posgrado</t>
  </si>
  <si>
    <t>(Alumnos Inscrito en Posgrado/30)*100</t>
  </si>
  <si>
    <t>Alumnos Inscritos en Posgrado</t>
  </si>
  <si>
    <t>3. Fomentar la formación integral</t>
  </si>
  <si>
    <t>Porcetnaje de equipos representativos</t>
  </si>
  <si>
    <t>No. De equipos representativos deportivos/ Matricula total</t>
  </si>
  <si>
    <t>Porcentaje de alumnos que integre el representativo</t>
  </si>
  <si>
    <t>Actividades extraescolares (cívicas y culturales)</t>
  </si>
  <si>
    <t>(Matrícula en actividades extraescolares/Matrícula total)*100</t>
  </si>
  <si>
    <t>Alumnos en talleres culturares y civicos</t>
  </si>
  <si>
    <t xml:space="preserve">Porcentaje de alumnos </t>
  </si>
  <si>
    <t>No. De alumnos  que participan en actividades civicas / matricula total.</t>
  </si>
  <si>
    <t xml:space="preserve">Porcentaje de alunnso que participan en las actividades civicas </t>
  </si>
  <si>
    <t>Estudiantes que se encuentran inscritos en algún curso o programa de enseñanza de lenguas extranjeras, respecto de la matrícula total</t>
  </si>
  <si>
    <t>(Estudiantes inscritos en algún curso o programa de enseñanza de lenguas extranjeras / Matrícula total de estudiantes)*100.</t>
  </si>
  <si>
    <t>Seguimiento a alumnos</t>
  </si>
  <si>
    <t>(N° estudiantes cursando alguna lengua extranjera/N° total de matricula)*100</t>
  </si>
  <si>
    <t xml:space="preserve">Capacitación a instructores de idiomas </t>
  </si>
  <si>
    <t>(N° de  instructores de idiomas  capacitados/ N° de  instructores de idiomas programado capacitación)*100</t>
  </si>
  <si>
    <t>Docentes actualizados</t>
  </si>
  <si>
    <t>(N° de  instructores de idiomas  capacitados/ N° de  instructores de idiomas programado capacitación)*101</t>
  </si>
  <si>
    <t>Estudiantes de posgrado con beca</t>
  </si>
  <si>
    <t>4. Impulsar la investigación</t>
  </si>
  <si>
    <t>Estadía de Investigación (Delfín)</t>
  </si>
  <si>
    <t>Estudiantes en estadìa/Matricula )*100</t>
  </si>
  <si>
    <t>publicaciones o ponencias en congresos</t>
  </si>
  <si>
    <t xml:space="preserve">Prototipos </t>
  </si>
  <si>
    <t>Prototipos desarrollados</t>
  </si>
  <si>
    <t xml:space="preserve">Eventos realizados </t>
  </si>
  <si>
    <t>Eventos de ciencia y Tecnológia</t>
  </si>
  <si>
    <t>Estratègico</t>
  </si>
  <si>
    <t>Matrícula en eventos de innovación</t>
  </si>
  <si>
    <t>Matricula de licenciatura en ciencias Bàsicas/matricula de licenciatura)*100</t>
  </si>
  <si>
    <t>Registro de propiedad intelectual</t>
  </si>
  <si>
    <t>Estudiantes participantes</t>
  </si>
  <si>
    <t>Impacto de la investigación</t>
  </si>
  <si>
    <t>(Proyectos en desarrollo y concluidos/17)*100</t>
  </si>
  <si>
    <t>Estudiantes en Estadìa</t>
  </si>
  <si>
    <t>(Proyectos en desarrollo y concluidos/17)*101</t>
  </si>
  <si>
    <t>(Proyectos en desarrollo y concluidos/17)*102</t>
  </si>
  <si>
    <t>(Proyectos en desarrollo y concluidos/17)*103</t>
  </si>
  <si>
    <t>(Proyectos en desarrollo y concluidos/17)*104</t>
  </si>
  <si>
    <t>Vinculación con los sectores público, social y privado.</t>
  </si>
  <si>
    <t>Total de aproyectos vinculados con los sectores publico social y privado.</t>
  </si>
  <si>
    <t>Porcentaje de egresados en mercado laboral ISC</t>
  </si>
  <si>
    <t xml:space="preserve">Proyectos Vinculados </t>
  </si>
  <si>
    <t>5. Fomentar la vinculación</t>
  </si>
  <si>
    <t xml:space="preserve">Empresas incubadas </t>
  </si>
  <si>
    <t>Total de empresas incubadas a través del modelo institucional de incubación empresarial</t>
  </si>
  <si>
    <t xml:space="preserve">Gestiòn </t>
  </si>
  <si>
    <t>Empresas incubadas</t>
  </si>
  <si>
    <t>(Número de egresados de ISC empleados en el mercado laboral en los primeros doce meses posteriores a su egreso / Número de egresados de ISC en la generación )* 100.</t>
  </si>
  <si>
    <t>Visitas a empresas</t>
  </si>
  <si>
    <t>Total de proyectos vinculados con los sectores publico, social y privados</t>
  </si>
  <si>
    <t>Personal Directivo y no docente Capacitado</t>
  </si>
  <si>
    <t>Total de personal directivo capacitado/total de personal no docente</t>
  </si>
  <si>
    <t>Personal no Docente Capacitado</t>
  </si>
  <si>
    <t>Personal Directivo Capacitado</t>
  </si>
  <si>
    <t>Total de personal directivo capacitado</t>
  </si>
  <si>
    <t>Estràtegico</t>
  </si>
  <si>
    <t>Personal directivo capacitado</t>
  </si>
  <si>
    <t>Pago de servicios</t>
  </si>
  <si>
    <t>(Número de servicios pagados/servicios por pagar)*100</t>
  </si>
  <si>
    <t>Porcentaje de acciones realizadas</t>
  </si>
  <si>
    <t>Mantenimiento a insfraestructura maquinaria y equipo</t>
  </si>
  <si>
    <t>(Mantenimientos realizados /Mantenimientos programados  ) * 100</t>
  </si>
  <si>
    <t xml:space="preserve">Atención a requisiciones de bienes y servicios </t>
  </si>
  <si>
    <t>Actividades de mantenimiento atendidas</t>
  </si>
  <si>
    <t>Materiales y suministros</t>
  </si>
  <si>
    <t>(Requisiciones atendidas/Requisiciones solicitadas) * 100</t>
  </si>
  <si>
    <t>Trámites realizados</t>
  </si>
  <si>
    <t>Gestión en área de servicios administrativos</t>
  </si>
  <si>
    <t>(Trámites realizados al periodo/trámites  programados  en el periodo)*100</t>
  </si>
  <si>
    <t>Gestión en área de planeación</t>
  </si>
  <si>
    <t>Sistema Implementado</t>
  </si>
  <si>
    <t>Número de sistemas implementados</t>
  </si>
  <si>
    <t>Certificaciones</t>
  </si>
  <si>
    <t>Total de Sistemas de Gestiòn certificados</t>
  </si>
  <si>
    <t>Certificados</t>
  </si>
  <si>
    <t>Nóminas generadas</t>
  </si>
  <si>
    <t>(Nóminas realizadas/Nóminas  programadas)*100</t>
  </si>
  <si>
    <t xml:space="preserve">TOTALES </t>
  </si>
  <si>
    <t>Elaborò</t>
  </si>
  <si>
    <t>_______________________________</t>
  </si>
  <si>
    <t>ING. ISRAEL AGUILAR SANCHEZ</t>
  </si>
  <si>
    <t>JEFE DEL DEPTO. DE PLANEACIÒN Y PROGRAMACIÒN</t>
  </si>
  <si>
    <t>META ANUAL 2024</t>
  </si>
  <si>
    <t>Indicadores de resultados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</si>
</sst>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5" formatCode="&quot;$&quot;#,##0;\-&quot;$&quot;#,##0"/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164" formatCode="_-[$$-80A]* #,##0_-;\-[$$-80A]* #,##0_-;_-[$$-80A]* &quot;-&quot;_-;_-@_-"/>
    <numFmt numFmtId="165" formatCode="_-[$$-80A]* #,##0.00_-;\-[$$-80A]* #,##0.00_-;_-[$$-80A]* &quot;-&quot;_-;_-@_-"/>
    <numFmt numFmtId="166" formatCode="_-&quot;$&quot;* #,##0_-;\-&quot;$&quot;* #,##0_-;_-&quot;$&quot;* &quot;-&quot;??_-;_-@_-"/>
    <numFmt numFmtId="167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7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10"/>
      <name val="Arial"/>
      <family val="2"/>
    </font>
    <font>
      <sz val="6.5"/>
      <name val="Arial"/>
      <family val="2"/>
    </font>
    <font>
      <sz val="6.5"/>
      <color indexed="8"/>
      <name val="Arial"/>
      <family val="2"/>
    </font>
    <font>
      <sz val="7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rgb="FF000000"/>
      <name val="Calibri"/>
      <family val="2"/>
      <scheme val="minor"/>
    </font>
    <font>
      <b/>
      <sz val="7"/>
      <color theme="1"/>
      <name val="Calibri"/>
      <family val="2"/>
      <scheme val="minor"/>
    </font>
    <font>
      <u/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132">
    <xf numFmtId="0" fontId="0" fillId="0" borderId="0" xfId="0"/>
    <xf numFmtId="0" fontId="3" fillId="0" borderId="1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2" fontId="3" fillId="0" borderId="1" xfId="0" applyNumberFormat="1" applyFont="1" applyFill="1" applyBorder="1"/>
    <xf numFmtId="42" fontId="3" fillId="0" borderId="1" xfId="0" applyNumberFormat="1" applyFont="1" applyFill="1" applyBorder="1" applyAlignment="1">
      <alignment horizontal="center"/>
    </xf>
    <xf numFmtId="42" fontId="3" fillId="0" borderId="2" xfId="0" applyNumberFormat="1" applyFont="1" applyFill="1" applyBorder="1" applyAlignment="1">
      <alignment horizontal="center"/>
    </xf>
    <xf numFmtId="0" fontId="3" fillId="0" borderId="2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7" fillId="0" borderId="7" xfId="4" applyNumberFormat="1" applyFont="1" applyFill="1" applyBorder="1" applyAlignment="1">
      <alignment horizontal="left" vertical="center" wrapText="1"/>
    </xf>
    <xf numFmtId="49" fontId="7" fillId="0" borderId="7" xfId="4" applyNumberFormat="1" applyFont="1" applyFill="1" applyBorder="1" applyAlignment="1">
      <alignment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left" vertical="center" wrapText="1"/>
    </xf>
    <xf numFmtId="9" fontId="7" fillId="0" borderId="7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255" wrapText="1"/>
    </xf>
    <xf numFmtId="0" fontId="3" fillId="0" borderId="1" xfId="0" applyFont="1" applyFill="1" applyBorder="1" applyAlignment="1">
      <alignment horizontal="center" vertical="center"/>
    </xf>
    <xf numFmtId="49" fontId="8" fillId="0" borderId="1" xfId="4" applyNumberFormat="1" applyFont="1" applyFill="1" applyBorder="1" applyAlignment="1">
      <alignment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42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Fill="1"/>
    <xf numFmtId="49" fontId="8" fillId="0" borderId="1" xfId="4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2" xfId="3" applyFont="1" applyFill="1" applyBorder="1" applyAlignment="1">
      <alignment horizontal="left" vertical="center" wrapText="1"/>
    </xf>
    <xf numFmtId="0" fontId="8" fillId="0" borderId="13" xfId="3" applyFont="1" applyFill="1" applyBorder="1" applyAlignment="1">
      <alignment vertical="center" wrapText="1"/>
    </xf>
    <xf numFmtId="165" fontId="3" fillId="0" borderId="1" xfId="0" applyNumberFormat="1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left" vertical="center" wrapText="1"/>
    </xf>
    <xf numFmtId="0" fontId="8" fillId="0" borderId="1" xfId="3" applyFont="1" applyFill="1" applyBorder="1" applyAlignment="1">
      <alignment vertical="center" wrapText="1"/>
    </xf>
    <xf numFmtId="164" fontId="4" fillId="0" borderId="1" xfId="0" applyNumberFormat="1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8" fillId="0" borderId="5" xfId="3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center" wrapText="1"/>
    </xf>
    <xf numFmtId="49" fontId="8" fillId="0" borderId="3" xfId="4" applyNumberFormat="1" applyFont="1" applyFill="1" applyBorder="1" applyAlignment="1">
      <alignment horizontal="left" vertical="center" wrapText="1"/>
    </xf>
    <xf numFmtId="9" fontId="3" fillId="0" borderId="1" xfId="2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42" fontId="4" fillId="0" borderId="1" xfId="0" applyNumberFormat="1" applyFont="1" applyFill="1" applyBorder="1" applyAlignment="1">
      <alignment horizontal="center" vertical="center" wrapText="1"/>
    </xf>
    <xf numFmtId="49" fontId="7" fillId="0" borderId="14" xfId="4" applyNumberFormat="1" applyFont="1" applyFill="1" applyBorder="1" applyAlignment="1">
      <alignment horizontal="left" vertical="center" wrapText="1"/>
    </xf>
    <xf numFmtId="49" fontId="7" fillId="0" borderId="14" xfId="4" applyNumberFormat="1" applyFont="1" applyFill="1" applyBorder="1" applyAlignment="1">
      <alignment vertical="center" wrapText="1"/>
    </xf>
    <xf numFmtId="49" fontId="7" fillId="0" borderId="1" xfId="4" applyNumberFormat="1" applyFont="1" applyFill="1" applyBorder="1" applyAlignment="1">
      <alignment horizontal="left" vertical="center" wrapText="1"/>
    </xf>
    <xf numFmtId="49" fontId="7" fillId="0" borderId="1" xfId="4" applyNumberFormat="1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vertical="center" wrapText="1"/>
    </xf>
    <xf numFmtId="49" fontId="8" fillId="0" borderId="14" xfId="4" applyNumberFormat="1" applyFont="1" applyFill="1" applyBorder="1" applyAlignment="1">
      <alignment horizontal="left" vertical="center" wrapText="1"/>
    </xf>
    <xf numFmtId="49" fontId="10" fillId="0" borderId="1" xfId="4" applyNumberFormat="1" applyFont="1" applyFill="1" applyBorder="1" applyAlignment="1">
      <alignment horizontal="left" vertical="center" wrapText="1"/>
    </xf>
    <xf numFmtId="164" fontId="8" fillId="0" borderId="14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center" vertical="center" wrapText="1"/>
    </xf>
    <xf numFmtId="165" fontId="8" fillId="0" borderId="1" xfId="0" applyNumberFormat="1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left" vertical="center" wrapText="1"/>
    </xf>
    <xf numFmtId="165" fontId="8" fillId="0" borderId="14" xfId="0" applyNumberFormat="1" applyFont="1" applyFill="1" applyBorder="1" applyAlignment="1">
      <alignment horizontal="center" vertical="center" wrapText="1"/>
    </xf>
    <xf numFmtId="0" fontId="3" fillId="0" borderId="1" xfId="3" applyFont="1" applyFill="1" applyBorder="1" applyAlignment="1">
      <alignment horizontal="left" vertical="center" wrapText="1"/>
    </xf>
    <xf numFmtId="164" fontId="8" fillId="0" borderId="17" xfId="0" applyNumberFormat="1" applyFont="1" applyFill="1" applyBorder="1" applyAlignment="1">
      <alignment horizontal="center" vertical="center" wrapText="1"/>
    </xf>
    <xf numFmtId="164" fontId="0" fillId="0" borderId="0" xfId="0" applyNumberFormat="1" applyFill="1"/>
    <xf numFmtId="167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right"/>
    </xf>
    <xf numFmtId="164" fontId="11" fillId="0" borderId="1" xfId="0" applyNumberFormat="1" applyFont="1" applyFill="1" applyBorder="1" applyAlignment="1">
      <alignment horizontal="center"/>
    </xf>
    <xf numFmtId="164" fontId="11" fillId="0" borderId="1" xfId="0" applyNumberFormat="1" applyFont="1" applyFill="1" applyBorder="1"/>
    <xf numFmtId="0" fontId="3" fillId="0" borderId="0" xfId="0" applyFont="1" applyFill="1"/>
    <xf numFmtId="0" fontId="11" fillId="0" borderId="3" xfId="0" applyFont="1" applyFill="1" applyBorder="1"/>
    <xf numFmtId="42" fontId="3" fillId="0" borderId="0" xfId="0" applyNumberFormat="1" applyFont="1" applyFill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/>
    </xf>
    <xf numFmtId="166" fontId="3" fillId="0" borderId="0" xfId="1" applyNumberFormat="1" applyFont="1" applyFill="1" applyBorder="1"/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42" fontId="3" fillId="0" borderId="0" xfId="0" applyNumberFormat="1" applyFont="1" applyFill="1" applyBorder="1" applyAlignment="1">
      <alignment horizontal="center"/>
    </xf>
    <xf numFmtId="0" fontId="3" fillId="2" borderId="0" xfId="0" applyFont="1" applyFill="1"/>
    <xf numFmtId="0" fontId="3" fillId="2" borderId="0" xfId="0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9" fontId="8" fillId="0" borderId="1" xfId="3" applyNumberFormat="1" applyFont="1" applyFill="1" applyBorder="1" applyAlignment="1">
      <alignment horizontal="left" vertical="center" wrapText="1"/>
    </xf>
    <xf numFmtId="5" fontId="9" fillId="0" borderId="1" xfId="0" applyNumberFormat="1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 applyBorder="1" applyAlignment="1">
      <alignment horizontal="center"/>
    </xf>
    <xf numFmtId="0" fontId="0" fillId="0" borderId="0" xfId="0" applyFill="1" applyBorder="1"/>
    <xf numFmtId="0" fontId="11" fillId="0" borderId="0" xfId="0" applyFont="1" applyFill="1" applyBorder="1"/>
    <xf numFmtId="9" fontId="3" fillId="0" borderId="1" xfId="2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  <xf numFmtId="0" fontId="0" fillId="0" borderId="0" xfId="0" applyAlignment="1">
      <alignment horizontal="center"/>
    </xf>
    <xf numFmtId="9" fontId="3" fillId="0" borderId="1" xfId="0" applyNumberFormat="1" applyFont="1" applyFill="1" applyBorder="1" applyAlignment="1">
      <alignment horizontal="center"/>
    </xf>
    <xf numFmtId="166" fontId="3" fillId="0" borderId="1" xfId="1" applyNumberFormat="1" applyFont="1" applyFill="1" applyBorder="1" applyAlignment="1">
      <alignment horizontal="center" vertical="center"/>
    </xf>
    <xf numFmtId="9" fontId="3" fillId="0" borderId="1" xfId="0" applyNumberFormat="1" applyFont="1" applyFill="1" applyBorder="1" applyAlignment="1">
      <alignment horizontal="center" vertical="center"/>
    </xf>
    <xf numFmtId="44" fontId="8" fillId="0" borderId="17" xfId="1" applyFont="1" applyFill="1" applyBorder="1" applyAlignment="1">
      <alignment horizontal="center" vertical="center" wrapText="1"/>
    </xf>
    <xf numFmtId="44" fontId="3" fillId="0" borderId="0" xfId="1" applyFont="1" applyFill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textRotation="255" wrapText="1"/>
    </xf>
    <xf numFmtId="0" fontId="3" fillId="0" borderId="9" xfId="0" applyFont="1" applyFill="1" applyBorder="1" applyAlignment="1">
      <alignment horizontal="center" vertical="center" textRotation="255" wrapText="1"/>
    </xf>
    <xf numFmtId="0" fontId="3" fillId="0" borderId="18" xfId="0" applyFont="1" applyFill="1" applyBorder="1" applyAlignment="1">
      <alignment horizontal="center" vertical="center" textRotation="255" wrapText="1"/>
    </xf>
    <xf numFmtId="0" fontId="11" fillId="0" borderId="1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3" applyNumberFormat="1" applyFont="1" applyFill="1" applyBorder="1" applyAlignment="1">
      <alignment horizontal="center" vertical="center"/>
    </xf>
    <xf numFmtId="0" fontId="3" fillId="0" borderId="3" xfId="3" applyFont="1" applyFill="1" applyBorder="1" applyAlignment="1">
      <alignment horizontal="center" vertical="center"/>
    </xf>
    <xf numFmtId="41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1" fontId="4" fillId="0" borderId="3" xfId="0" applyNumberFormat="1" applyFont="1" applyFill="1" applyBorder="1" applyAlignment="1">
      <alignment horizontal="center" vertical="center" wrapText="1"/>
    </xf>
    <xf numFmtId="41" fontId="4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41" fontId="3" fillId="0" borderId="0" xfId="0" applyNumberFormat="1" applyFont="1" applyFill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 vertical="center" wrapText="1"/>
    </xf>
    <xf numFmtId="41" fontId="12" fillId="0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</cellXfs>
  <cellStyles count="5">
    <cellStyle name="Moneda" xfId="1" builtinId="4"/>
    <cellStyle name="Normal" xfId="0" builtinId="0"/>
    <cellStyle name="Normal 2 16" xfId="3" xr:uid="{00000000-0005-0000-0000-000002000000}"/>
    <cellStyle name="Normal 4" xfId="4" xr:uid="{00000000-0005-0000-0000-000003000000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137160</xdr:colOff>
      <xdr:row>0</xdr:row>
      <xdr:rowOff>91440</xdr:rowOff>
    </xdr:from>
    <xdr:ext cx="831262" cy="341645"/>
    <xdr:pic>
      <xdr:nvPicPr>
        <xdr:cNvPr id="2" name="0 Imagen" descr="303_0.jpg">
          <a:extLst>
            <a:ext uri="{FF2B5EF4-FFF2-40B4-BE49-F238E27FC236}">
              <a16:creationId xmlns:a16="http://schemas.microsoft.com/office/drawing/2014/main" id="{F46B71C2-643D-4067-9880-0467E7CC28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29160" y="91440"/>
          <a:ext cx="831262" cy="3416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</xdr:colOff>
      <xdr:row>1</xdr:row>
      <xdr:rowOff>0</xdr:rowOff>
    </xdr:from>
    <xdr:ext cx="3289133" cy="246536"/>
    <xdr:pic>
      <xdr:nvPicPr>
        <xdr:cNvPr id="3" name="Imagen 2">
          <a:extLst>
            <a:ext uri="{FF2B5EF4-FFF2-40B4-BE49-F238E27FC236}">
              <a16:creationId xmlns:a16="http://schemas.microsoft.com/office/drawing/2014/main" id="{EAFC68B5-5988-4ED9-8F8E-9951DFFCF3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90500"/>
          <a:ext cx="3289133" cy="24653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87"/>
  <sheetViews>
    <sheetView tabSelected="1" topLeftCell="A4" workbookViewId="0">
      <pane xSplit="1" ySplit="7" topLeftCell="I73" activePane="bottomRight" state="frozen"/>
      <selection activeCell="A4" sqref="A4"/>
      <selection pane="topRight" activeCell="B4" sqref="B4"/>
      <selection pane="bottomLeft" activeCell="A11" sqref="A11"/>
      <selection pane="bottomRight" activeCell="L86" sqref="L86"/>
    </sheetView>
  </sheetViews>
  <sheetFormatPr baseColWidth="10" defaultRowHeight="15" x14ac:dyDescent="0.25"/>
  <cols>
    <col min="9" max="9" width="10.85546875" style="90"/>
    <col min="13" max="13" width="10.85546875" style="90"/>
    <col min="14" max="14" width="12" bestFit="1" customWidth="1"/>
    <col min="15" max="15" width="13.28515625" customWidth="1"/>
    <col min="16" max="16" width="16.5703125" bestFit="1" customWidth="1"/>
  </cols>
  <sheetData>
    <row r="1" spans="1:19" x14ac:dyDescent="0.25">
      <c r="A1" s="123" t="s">
        <v>0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</row>
    <row r="2" spans="1:19" x14ac:dyDescent="0.25">
      <c r="A2" s="124" t="s">
        <v>1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</row>
    <row r="3" spans="1:19" x14ac:dyDescent="0.25">
      <c r="A3" s="125" t="s">
        <v>2</v>
      </c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</row>
    <row r="4" spans="1:19" x14ac:dyDescent="0.25">
      <c r="A4" s="124" t="s">
        <v>179</v>
      </c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</row>
    <row r="5" spans="1:19" ht="36" customHeight="1" x14ac:dyDescent="0.25">
      <c r="A5" s="113" t="s">
        <v>3</v>
      </c>
      <c r="B5" s="113"/>
      <c r="C5" s="113"/>
      <c r="D5" s="113"/>
      <c r="E5" s="113" t="s">
        <v>4</v>
      </c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  <c r="R5" s="113"/>
      <c r="S5" s="113"/>
    </row>
    <row r="6" spans="1:19" x14ac:dyDescent="0.25">
      <c r="A6" s="113" t="s">
        <v>5</v>
      </c>
      <c r="B6" s="113"/>
      <c r="C6" s="113"/>
      <c r="D6" s="113"/>
      <c r="E6" s="113" t="s">
        <v>6</v>
      </c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</row>
    <row r="7" spans="1:19" x14ac:dyDescent="0.25">
      <c r="A7" s="113" t="s">
        <v>7</v>
      </c>
      <c r="B7" s="113"/>
      <c r="C7" s="113"/>
      <c r="D7" s="113"/>
      <c r="E7" s="113" t="s">
        <v>8</v>
      </c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</row>
    <row r="8" spans="1:19" ht="15.75" thickBot="1" x14ac:dyDescent="0.3">
      <c r="A8" s="1"/>
      <c r="B8" s="1"/>
      <c r="C8" s="1"/>
      <c r="D8" s="1"/>
      <c r="E8" s="2" t="s">
        <v>9</v>
      </c>
      <c r="F8" s="1"/>
      <c r="G8" s="1"/>
      <c r="H8" s="1"/>
      <c r="I8" s="80"/>
      <c r="J8" s="3"/>
      <c r="K8" s="3"/>
      <c r="L8" s="1"/>
      <c r="M8" s="81"/>
      <c r="N8" s="4"/>
      <c r="O8" s="4"/>
      <c r="P8" s="5"/>
      <c r="Q8" s="6"/>
      <c r="R8" s="7"/>
      <c r="S8" s="8"/>
    </row>
    <row r="9" spans="1:19" x14ac:dyDescent="0.25">
      <c r="A9" s="114" t="s">
        <v>10</v>
      </c>
      <c r="B9" s="115" t="s">
        <v>11</v>
      </c>
      <c r="C9" s="115" t="s">
        <v>12</v>
      </c>
      <c r="D9" s="117" t="s">
        <v>13</v>
      </c>
      <c r="E9" s="118" t="s">
        <v>14</v>
      </c>
      <c r="F9" s="104" t="s">
        <v>15</v>
      </c>
      <c r="G9" s="104" t="s">
        <v>16</v>
      </c>
      <c r="H9" s="106" t="s">
        <v>17</v>
      </c>
      <c r="I9" s="106" t="s">
        <v>178</v>
      </c>
      <c r="J9" s="108" t="s">
        <v>18</v>
      </c>
      <c r="K9" s="109"/>
      <c r="L9" s="109"/>
      <c r="M9" s="110"/>
      <c r="N9" s="121" t="s">
        <v>19</v>
      </c>
      <c r="O9" s="119" t="s">
        <v>20</v>
      </c>
      <c r="P9" s="119" t="s">
        <v>21</v>
      </c>
      <c r="Q9" s="119" t="s">
        <v>22</v>
      </c>
      <c r="R9" s="119" t="s">
        <v>23</v>
      </c>
      <c r="S9" s="120" t="s">
        <v>24</v>
      </c>
    </row>
    <row r="10" spans="1:19" ht="15.75" thickBot="1" x14ac:dyDescent="0.3">
      <c r="A10" s="106"/>
      <c r="B10" s="116"/>
      <c r="C10" s="116"/>
      <c r="D10" s="116"/>
      <c r="E10" s="116"/>
      <c r="F10" s="105"/>
      <c r="G10" s="105"/>
      <c r="H10" s="107"/>
      <c r="I10" s="107"/>
      <c r="J10" s="9" t="s">
        <v>25</v>
      </c>
      <c r="K10" s="9" t="s">
        <v>26</v>
      </c>
      <c r="L10" s="10" t="s">
        <v>27</v>
      </c>
      <c r="M10" s="80" t="s">
        <v>28</v>
      </c>
      <c r="N10" s="122"/>
      <c r="O10" s="119"/>
      <c r="P10" s="119"/>
      <c r="Q10" s="119"/>
      <c r="R10" s="119"/>
      <c r="S10" s="120"/>
    </row>
    <row r="11" spans="1:19" ht="144" x14ac:dyDescent="0.25">
      <c r="A11" s="111" t="s">
        <v>29</v>
      </c>
      <c r="B11" s="11">
        <v>1</v>
      </c>
      <c r="C11" s="12">
        <v>1.1000000000000001</v>
      </c>
      <c r="D11" s="13" t="s">
        <v>30</v>
      </c>
      <c r="E11" s="14" t="s">
        <v>31</v>
      </c>
      <c r="F11" s="15" t="s">
        <v>32</v>
      </c>
      <c r="G11" s="15" t="s">
        <v>33</v>
      </c>
      <c r="H11" s="16" t="s">
        <v>34</v>
      </c>
      <c r="I11" s="17">
        <v>1</v>
      </c>
      <c r="J11" s="9"/>
      <c r="K11" s="9"/>
      <c r="L11" s="10"/>
      <c r="M11" s="80"/>
      <c r="N11" s="18" t="s">
        <v>35</v>
      </c>
      <c r="O11" s="18" t="s">
        <v>35</v>
      </c>
      <c r="P11" s="18" t="s">
        <v>35</v>
      </c>
      <c r="Q11" s="18" t="s">
        <v>35</v>
      </c>
      <c r="R11" s="18" t="s">
        <v>35</v>
      </c>
      <c r="S11" s="18"/>
    </row>
    <row r="12" spans="1:19" s="24" customFormat="1" ht="54" x14ac:dyDescent="0.25">
      <c r="A12" s="112"/>
      <c r="B12" s="19">
        <v>2</v>
      </c>
      <c r="C12" s="20">
        <v>1.2</v>
      </c>
      <c r="D12" s="82" t="s">
        <v>36</v>
      </c>
      <c r="E12" s="21" t="s">
        <v>37</v>
      </c>
      <c r="F12" s="15" t="s">
        <v>38</v>
      </c>
      <c r="G12" s="15" t="s">
        <v>33</v>
      </c>
      <c r="H12" s="77" t="s">
        <v>39</v>
      </c>
      <c r="I12" s="10">
        <v>1</v>
      </c>
      <c r="J12" s="10">
        <v>1</v>
      </c>
      <c r="K12" s="10">
        <f>P12/O12</f>
        <v>0.78048594423465689</v>
      </c>
      <c r="L12" s="10">
        <f>K12/J12</f>
        <v>0.78048594423465689</v>
      </c>
      <c r="M12" s="10">
        <f t="shared" ref="M12:M23" si="0">J12-K12</f>
        <v>0.21951405576534311</v>
      </c>
      <c r="N12" s="22">
        <f>O12</f>
        <v>104868</v>
      </c>
      <c r="O12" s="22">
        <f>54934+42934+3000+4000</f>
        <v>104868</v>
      </c>
      <c r="P12" s="83">
        <f>42641+32207+3000+4000</f>
        <v>81848</v>
      </c>
      <c r="Q12" s="23">
        <f t="shared" ref="Q12:Q63" si="1">O12-P12</f>
        <v>23020</v>
      </c>
      <c r="R12" s="10">
        <f>P12/O12</f>
        <v>0.78048594423465689</v>
      </c>
      <c r="S12" s="77"/>
    </row>
    <row r="13" spans="1:19" s="24" customFormat="1" ht="63" x14ac:dyDescent="0.25">
      <c r="A13" s="112"/>
      <c r="B13" s="19">
        <v>3</v>
      </c>
      <c r="C13" s="20">
        <v>1.3</v>
      </c>
      <c r="D13" s="25" t="s">
        <v>40</v>
      </c>
      <c r="E13" s="21" t="s">
        <v>41</v>
      </c>
      <c r="F13" s="26" t="s">
        <v>38</v>
      </c>
      <c r="G13" s="26" t="s">
        <v>33</v>
      </c>
      <c r="H13" s="2" t="s">
        <v>39</v>
      </c>
      <c r="I13" s="10">
        <v>1</v>
      </c>
      <c r="J13" s="10">
        <v>1</v>
      </c>
      <c r="K13" s="10">
        <v>0.05</v>
      </c>
      <c r="L13" s="10">
        <f>K13/J13</f>
        <v>0.05</v>
      </c>
      <c r="M13" s="10">
        <f t="shared" si="0"/>
        <v>0.95</v>
      </c>
      <c r="N13" s="22">
        <f>O13</f>
        <v>356024.03</v>
      </c>
      <c r="O13" s="22">
        <f>10790+10790+155372+179072.03</f>
        <v>356024.03</v>
      </c>
      <c r="P13" s="22">
        <f>10790+10790+145000+149000</f>
        <v>315580</v>
      </c>
      <c r="Q13" s="23">
        <f t="shared" si="1"/>
        <v>40444.030000000028</v>
      </c>
      <c r="R13" s="10">
        <f>P13/O13</f>
        <v>0.88640084210046155</v>
      </c>
      <c r="S13" s="2"/>
    </row>
    <row r="14" spans="1:19" s="24" customFormat="1" ht="63" x14ac:dyDescent="0.25">
      <c r="A14" s="112"/>
      <c r="B14" s="11">
        <v>4</v>
      </c>
      <c r="C14" s="12">
        <v>1.4</v>
      </c>
      <c r="D14" s="27" t="s">
        <v>42</v>
      </c>
      <c r="E14" s="28" t="s">
        <v>41</v>
      </c>
      <c r="F14" s="26" t="s">
        <v>38</v>
      </c>
      <c r="G14" s="26" t="s">
        <v>33</v>
      </c>
      <c r="H14" s="2" t="s">
        <v>39</v>
      </c>
      <c r="I14" s="10">
        <v>1</v>
      </c>
      <c r="J14" s="10">
        <v>0.6</v>
      </c>
      <c r="K14" s="10">
        <v>0.4</v>
      </c>
      <c r="L14" s="10">
        <f>K14/J14</f>
        <v>0.66666666666666674</v>
      </c>
      <c r="M14" s="10">
        <f t="shared" si="0"/>
        <v>0.19999999999999996</v>
      </c>
      <c r="N14" s="29">
        <v>57935.29</v>
      </c>
      <c r="O14" s="22">
        <f>11000+4998</f>
        <v>15998</v>
      </c>
      <c r="P14" s="22">
        <f>2046+4998</f>
        <v>7044</v>
      </c>
      <c r="Q14" s="23">
        <f t="shared" si="1"/>
        <v>8954</v>
      </c>
      <c r="R14" s="10">
        <f>P14/O14</f>
        <v>0.44030503812976624</v>
      </c>
      <c r="S14" s="2"/>
    </row>
    <row r="15" spans="1:19" s="24" customFormat="1" ht="54" x14ac:dyDescent="0.25">
      <c r="A15" s="112"/>
      <c r="B15" s="19">
        <v>5</v>
      </c>
      <c r="C15" s="20">
        <v>1.5</v>
      </c>
      <c r="D15" s="30" t="s">
        <v>43</v>
      </c>
      <c r="E15" s="31" t="s">
        <v>44</v>
      </c>
      <c r="F15" s="15" t="s">
        <v>45</v>
      </c>
      <c r="G15" s="26" t="s">
        <v>33</v>
      </c>
      <c r="H15" s="2" t="s">
        <v>46</v>
      </c>
      <c r="I15" s="10">
        <v>0.3</v>
      </c>
      <c r="J15" s="10">
        <v>1</v>
      </c>
      <c r="K15" s="10">
        <v>0.45</v>
      </c>
      <c r="L15" s="10">
        <f t="shared" ref="L15:L72" si="2">K15/J15</f>
        <v>0.45</v>
      </c>
      <c r="M15" s="10">
        <f t="shared" si="0"/>
        <v>0.55000000000000004</v>
      </c>
      <c r="N15" s="29">
        <f>O15</f>
        <v>133000</v>
      </c>
      <c r="O15" s="32">
        <f>33000+33000+16000+51000</f>
        <v>133000</v>
      </c>
      <c r="P15" s="32">
        <f>33000+33000+500+29390</f>
        <v>95890</v>
      </c>
      <c r="Q15" s="23">
        <f t="shared" si="1"/>
        <v>37110</v>
      </c>
      <c r="R15" s="10">
        <f t="shared" ref="R15:R21" si="3">P15/O15</f>
        <v>0.72097744360902261</v>
      </c>
      <c r="S15" s="2"/>
    </row>
    <row r="16" spans="1:19" s="24" customFormat="1" ht="45" x14ac:dyDescent="0.25">
      <c r="A16" s="112"/>
      <c r="B16" s="19">
        <v>6</v>
      </c>
      <c r="C16" s="20">
        <v>1.6</v>
      </c>
      <c r="D16" s="33" t="s">
        <v>47</v>
      </c>
      <c r="E16" s="34" t="s">
        <v>48</v>
      </c>
      <c r="F16" s="15" t="s">
        <v>45</v>
      </c>
      <c r="G16" s="26" t="s">
        <v>33</v>
      </c>
      <c r="H16" s="2" t="s">
        <v>49</v>
      </c>
      <c r="I16" s="10">
        <v>0.15</v>
      </c>
      <c r="J16" s="10">
        <v>0.7</v>
      </c>
      <c r="K16" s="10">
        <v>0.5</v>
      </c>
      <c r="L16" s="10">
        <v>0.5</v>
      </c>
      <c r="M16" s="10">
        <f t="shared" si="0"/>
        <v>0.19999999999999996</v>
      </c>
      <c r="N16" s="29">
        <v>130152</v>
      </c>
      <c r="O16" s="22">
        <f>32538+32538+32538+22538</f>
        <v>120152</v>
      </c>
      <c r="P16" s="22">
        <f>32187+32187+32187+32187</f>
        <v>128748</v>
      </c>
      <c r="Q16" s="23">
        <f t="shared" si="1"/>
        <v>-8596</v>
      </c>
      <c r="R16" s="10">
        <f t="shared" si="3"/>
        <v>1.0715427125640855</v>
      </c>
      <c r="S16" s="2"/>
    </row>
    <row r="17" spans="1:19" ht="90" x14ac:dyDescent="0.25">
      <c r="A17" s="112"/>
      <c r="B17" s="11">
        <v>7</v>
      </c>
      <c r="C17" s="12">
        <v>1.7</v>
      </c>
      <c r="D17" s="25" t="s">
        <v>50</v>
      </c>
      <c r="E17" s="21" t="s">
        <v>51</v>
      </c>
      <c r="F17" s="26" t="s">
        <v>45</v>
      </c>
      <c r="G17" s="26" t="s">
        <v>33</v>
      </c>
      <c r="H17" s="35" t="s">
        <v>52</v>
      </c>
      <c r="I17" s="10">
        <v>1</v>
      </c>
      <c r="J17" s="10">
        <v>0.8</v>
      </c>
      <c r="K17" s="10">
        <v>0.7</v>
      </c>
      <c r="L17" s="10">
        <v>1</v>
      </c>
      <c r="M17" s="10">
        <f t="shared" si="0"/>
        <v>0.10000000000000009</v>
      </c>
      <c r="N17" s="29">
        <f>O17</f>
        <v>81270</v>
      </c>
      <c r="O17" s="22">
        <f>30635+20000+30635</f>
        <v>81270</v>
      </c>
      <c r="P17" s="22">
        <f>25803+20000+25803</f>
        <v>71606</v>
      </c>
      <c r="Q17" s="23">
        <f t="shared" si="1"/>
        <v>9664</v>
      </c>
      <c r="R17" s="10" t="s">
        <v>35</v>
      </c>
      <c r="S17" s="2"/>
    </row>
    <row r="18" spans="1:19" s="24" customFormat="1" ht="54" x14ac:dyDescent="0.25">
      <c r="A18" s="112"/>
      <c r="B18" s="19">
        <v>8</v>
      </c>
      <c r="C18" s="20">
        <v>1.8</v>
      </c>
      <c r="D18" s="25" t="s">
        <v>53</v>
      </c>
      <c r="E18" s="21" t="s">
        <v>54</v>
      </c>
      <c r="F18" s="26" t="s">
        <v>38</v>
      </c>
      <c r="G18" s="26" t="s">
        <v>33</v>
      </c>
      <c r="H18" s="77" t="s">
        <v>39</v>
      </c>
      <c r="I18" s="10">
        <v>1</v>
      </c>
      <c r="J18" s="10">
        <f t="shared" ref="J18:K52" si="4">O18/N18</f>
        <v>1.0224389401915941</v>
      </c>
      <c r="K18" s="10">
        <f t="shared" si="4"/>
        <v>0.76142483329112853</v>
      </c>
      <c r="L18" s="10">
        <f t="shared" si="2"/>
        <v>0.74471423510967383</v>
      </c>
      <c r="M18" s="10">
        <f t="shared" si="0"/>
        <v>0.26101410690046556</v>
      </c>
      <c r="N18" s="95">
        <v>57935</v>
      </c>
      <c r="O18" s="22">
        <f>30635+22300+6300</f>
        <v>59235</v>
      </c>
      <c r="P18" s="22">
        <f>25803+14000+5300</f>
        <v>45103</v>
      </c>
      <c r="Q18" s="23">
        <f t="shared" si="1"/>
        <v>14132</v>
      </c>
      <c r="R18" s="10">
        <f t="shared" si="3"/>
        <v>0.76142483329112853</v>
      </c>
      <c r="S18" s="77"/>
    </row>
    <row r="19" spans="1:19" s="24" customFormat="1" ht="72" x14ac:dyDescent="0.25">
      <c r="A19" s="112"/>
      <c r="B19" s="19">
        <v>9</v>
      </c>
      <c r="C19" s="20">
        <v>1.9</v>
      </c>
      <c r="D19" s="36" t="s">
        <v>55</v>
      </c>
      <c r="E19" s="21" t="s">
        <v>56</v>
      </c>
      <c r="F19" s="26" t="s">
        <v>38</v>
      </c>
      <c r="G19" s="26" t="s">
        <v>33</v>
      </c>
      <c r="H19" s="35" t="s">
        <v>57</v>
      </c>
      <c r="I19" s="10">
        <v>1</v>
      </c>
      <c r="J19" s="10">
        <v>0.55000000000000004</v>
      </c>
      <c r="K19" s="10">
        <f t="shared" si="4"/>
        <v>0.60301537475106304</v>
      </c>
      <c r="L19" s="10">
        <f t="shared" si="2"/>
        <v>1.0963915904564783</v>
      </c>
      <c r="M19" s="10">
        <f t="shared" si="0"/>
        <v>-5.3015374751062994E-2</v>
      </c>
      <c r="N19" s="29">
        <v>121829.53</v>
      </c>
      <c r="O19" s="22">
        <f>52647+52647+59780+49779.56</f>
        <v>214853.56</v>
      </c>
      <c r="P19" s="22">
        <f>5000+5000+59780+59780</f>
        <v>129560</v>
      </c>
      <c r="Q19" s="23">
        <f t="shared" si="1"/>
        <v>85293.56</v>
      </c>
      <c r="R19" s="37">
        <f t="shared" si="3"/>
        <v>0.60301537475106304</v>
      </c>
      <c r="S19" s="2"/>
    </row>
    <row r="20" spans="1:19" s="24" customFormat="1" ht="27" x14ac:dyDescent="0.25">
      <c r="A20" s="112"/>
      <c r="B20" s="11">
        <v>10</v>
      </c>
      <c r="C20" s="12">
        <v>1.1000000000000001</v>
      </c>
      <c r="D20" s="25" t="s">
        <v>58</v>
      </c>
      <c r="E20" s="21" t="s">
        <v>59</v>
      </c>
      <c r="F20" s="26" t="s">
        <v>60</v>
      </c>
      <c r="G20" s="26" t="s">
        <v>33</v>
      </c>
      <c r="H20" s="3" t="s">
        <v>61</v>
      </c>
      <c r="I20" s="10">
        <v>0.7</v>
      </c>
      <c r="J20" s="10">
        <f t="shared" si="4"/>
        <v>0.82332757591971928</v>
      </c>
      <c r="K20" s="10">
        <f t="shared" si="4"/>
        <v>0.50382455050946962</v>
      </c>
      <c r="L20" s="10">
        <f t="shared" si="2"/>
        <v>0.61193693159938123</v>
      </c>
      <c r="M20" s="10">
        <f t="shared" si="0"/>
        <v>0.31950302541024966</v>
      </c>
      <c r="N20" s="29">
        <v>86062.95</v>
      </c>
      <c r="O20" s="22">
        <f>15338+15338+17600+22582</f>
        <v>70858</v>
      </c>
      <c r="P20" s="22">
        <f>2050+2050+21000+10600</f>
        <v>35700</v>
      </c>
      <c r="Q20" s="23">
        <f t="shared" si="1"/>
        <v>35158</v>
      </c>
      <c r="R20" s="10">
        <f t="shared" si="3"/>
        <v>0.50382455050946962</v>
      </c>
      <c r="S20" s="2"/>
    </row>
    <row r="21" spans="1:19" s="24" customFormat="1" ht="36" x14ac:dyDescent="0.25">
      <c r="A21" s="112"/>
      <c r="B21" s="19">
        <v>11</v>
      </c>
      <c r="C21" s="20">
        <v>2.1</v>
      </c>
      <c r="D21" s="35" t="s">
        <v>62</v>
      </c>
      <c r="E21" s="38" t="s">
        <v>63</v>
      </c>
      <c r="F21" s="26" t="s">
        <v>64</v>
      </c>
      <c r="G21" s="26" t="s">
        <v>33</v>
      </c>
      <c r="H21" s="2" t="s">
        <v>65</v>
      </c>
      <c r="I21" s="39">
        <v>0.93</v>
      </c>
      <c r="J21" s="10">
        <f t="shared" si="4"/>
        <v>1.9547623988379332</v>
      </c>
      <c r="K21" s="10">
        <f t="shared" si="4"/>
        <v>0.5797505307855626</v>
      </c>
      <c r="L21" s="10">
        <f t="shared" si="2"/>
        <v>0.29658363140717897</v>
      </c>
      <c r="M21" s="10">
        <f t="shared" si="0"/>
        <v>1.3750118680523706</v>
      </c>
      <c r="N21" s="22">
        <v>77104</v>
      </c>
      <c r="O21" s="32">
        <f>56000+56000+16860+21860</f>
        <v>150720</v>
      </c>
      <c r="P21" s="40">
        <f>30000+30000+16860+10520</f>
        <v>87380</v>
      </c>
      <c r="Q21" s="23">
        <f t="shared" si="1"/>
        <v>63340</v>
      </c>
      <c r="R21" s="10">
        <f t="shared" si="3"/>
        <v>0.5797505307855626</v>
      </c>
      <c r="S21" s="2"/>
    </row>
    <row r="22" spans="1:19" s="24" customFormat="1" ht="27.75" thickBot="1" x14ac:dyDescent="0.3">
      <c r="A22" s="112"/>
      <c r="B22" s="19">
        <v>12</v>
      </c>
      <c r="C22" s="20">
        <v>2.2000000000000002</v>
      </c>
      <c r="D22" s="41" t="s">
        <v>66</v>
      </c>
      <c r="E22" s="42" t="s">
        <v>67</v>
      </c>
      <c r="F22" s="26" t="s">
        <v>64</v>
      </c>
      <c r="G22" s="26" t="s">
        <v>33</v>
      </c>
      <c r="H22" s="35" t="s">
        <v>39</v>
      </c>
      <c r="I22" s="10">
        <v>0.9</v>
      </c>
      <c r="J22" s="10">
        <v>0.8</v>
      </c>
      <c r="K22" s="10">
        <v>0.78</v>
      </c>
      <c r="L22" s="10">
        <f t="shared" si="2"/>
        <v>0.97499999999999998</v>
      </c>
      <c r="M22" s="10">
        <f t="shared" si="0"/>
        <v>2.0000000000000018E-2</v>
      </c>
      <c r="N22" s="29">
        <f>P22</f>
        <v>519170</v>
      </c>
      <c r="O22" s="32">
        <f>120000+120000+161935+101935</f>
        <v>503870</v>
      </c>
      <c r="P22" s="40">
        <f>120000+120000+161010+118160</f>
        <v>519170</v>
      </c>
      <c r="Q22" s="23">
        <f t="shared" si="1"/>
        <v>-15300</v>
      </c>
      <c r="R22" s="10">
        <v>1</v>
      </c>
      <c r="S22" s="2"/>
    </row>
    <row r="23" spans="1:19" s="24" customFormat="1" ht="72.75" thickTop="1" x14ac:dyDescent="0.25">
      <c r="A23" s="112"/>
      <c r="B23" s="11">
        <v>13</v>
      </c>
      <c r="C23" s="12">
        <v>2.2999999999999998</v>
      </c>
      <c r="D23" s="43" t="s">
        <v>68</v>
      </c>
      <c r="E23" s="44" t="s">
        <v>69</v>
      </c>
      <c r="F23" s="26" t="s">
        <v>45</v>
      </c>
      <c r="G23" s="26" t="s">
        <v>33</v>
      </c>
      <c r="H23" s="43" t="s">
        <v>70</v>
      </c>
      <c r="I23" s="10">
        <v>0.9</v>
      </c>
      <c r="J23" s="10">
        <v>0.9</v>
      </c>
      <c r="K23" s="10">
        <v>0.8</v>
      </c>
      <c r="L23" s="10">
        <f t="shared" si="2"/>
        <v>0.88888888888888895</v>
      </c>
      <c r="M23" s="10">
        <f t="shared" si="0"/>
        <v>9.9999999999999978E-2</v>
      </c>
      <c r="N23" s="22">
        <v>71934</v>
      </c>
      <c r="O23" s="22">
        <f>35967+35967+35967+45967</f>
        <v>153868</v>
      </c>
      <c r="P23" s="22">
        <f>35967+53041+60035</f>
        <v>149043</v>
      </c>
      <c r="Q23" s="23">
        <f t="shared" si="1"/>
        <v>4825</v>
      </c>
      <c r="R23" s="37">
        <f>P23/O23</f>
        <v>0.96864195284269639</v>
      </c>
      <c r="S23" s="2"/>
    </row>
    <row r="24" spans="1:19" s="24" customFormat="1" ht="45" x14ac:dyDescent="0.25">
      <c r="A24" s="112"/>
      <c r="B24" s="19">
        <v>14</v>
      </c>
      <c r="C24" s="20">
        <v>2.4</v>
      </c>
      <c r="D24" s="43" t="s">
        <v>71</v>
      </c>
      <c r="E24" s="44" t="s">
        <v>72</v>
      </c>
      <c r="F24" s="26" t="s">
        <v>64</v>
      </c>
      <c r="G24" s="26" t="s">
        <v>33</v>
      </c>
      <c r="H24" s="43" t="s">
        <v>73</v>
      </c>
      <c r="I24" s="10">
        <v>0.15</v>
      </c>
      <c r="J24" s="10">
        <v>0.88</v>
      </c>
      <c r="K24" s="10">
        <v>0.78</v>
      </c>
      <c r="L24" s="10">
        <f t="shared" si="2"/>
        <v>0.88636363636363635</v>
      </c>
      <c r="M24" s="10">
        <f>J24-K24</f>
        <v>9.9999999999999978E-2</v>
      </c>
      <c r="N24" s="22">
        <v>54648</v>
      </c>
      <c r="O24" s="22">
        <f>30000+35967</f>
        <v>65967</v>
      </c>
      <c r="P24" s="22">
        <f>30000</f>
        <v>30000</v>
      </c>
      <c r="Q24" s="23">
        <f t="shared" si="1"/>
        <v>35967</v>
      </c>
      <c r="R24" s="37" t="s">
        <v>35</v>
      </c>
      <c r="S24" s="2"/>
    </row>
    <row r="25" spans="1:19" s="24" customFormat="1" ht="45.75" thickBot="1" x14ac:dyDescent="0.3">
      <c r="A25" s="112"/>
      <c r="B25" s="19">
        <v>15</v>
      </c>
      <c r="C25" s="20">
        <v>2.5</v>
      </c>
      <c r="D25" s="43" t="s">
        <v>71</v>
      </c>
      <c r="E25" s="44" t="s">
        <v>72</v>
      </c>
      <c r="F25" s="26" t="s">
        <v>64</v>
      </c>
      <c r="G25" s="26" t="s">
        <v>33</v>
      </c>
      <c r="H25" s="43" t="s">
        <v>73</v>
      </c>
      <c r="I25" s="10">
        <v>0.65</v>
      </c>
      <c r="J25" s="10">
        <v>0.8</v>
      </c>
      <c r="K25" s="10">
        <v>0.65</v>
      </c>
      <c r="L25" s="10">
        <f t="shared" si="2"/>
        <v>0.8125</v>
      </c>
      <c r="M25" s="10">
        <v>0.45</v>
      </c>
      <c r="N25" s="22">
        <v>21934</v>
      </c>
      <c r="O25" s="22">
        <f>8000+8000+21434</f>
        <v>37434</v>
      </c>
      <c r="P25" s="22">
        <f>8000+8000+18425</f>
        <v>34425</v>
      </c>
      <c r="Q25" s="23">
        <f t="shared" si="1"/>
        <v>3009</v>
      </c>
      <c r="R25" s="37">
        <f>P25/O25</f>
        <v>0.9196185286103542</v>
      </c>
      <c r="S25" s="2"/>
    </row>
    <row r="26" spans="1:19" ht="81" x14ac:dyDescent="0.25">
      <c r="A26" s="103" t="s">
        <v>74</v>
      </c>
      <c r="B26" s="11">
        <v>16</v>
      </c>
      <c r="C26" s="12">
        <v>2.6</v>
      </c>
      <c r="D26" s="43" t="s">
        <v>75</v>
      </c>
      <c r="E26" s="44" t="s">
        <v>76</v>
      </c>
      <c r="F26" s="26" t="s">
        <v>64</v>
      </c>
      <c r="G26" s="26" t="s">
        <v>33</v>
      </c>
      <c r="H26" s="43" t="s">
        <v>77</v>
      </c>
      <c r="I26" s="10">
        <v>1</v>
      </c>
      <c r="J26" s="10">
        <v>0.8</v>
      </c>
      <c r="K26" s="10">
        <v>0.75</v>
      </c>
      <c r="L26" s="10">
        <f t="shared" si="2"/>
        <v>0.9375</v>
      </c>
      <c r="M26" s="10">
        <v>0.24</v>
      </c>
      <c r="N26" s="22">
        <v>21934.95</v>
      </c>
      <c r="O26" s="22">
        <f>9057+9057+1800+2077.99</f>
        <v>21991.989999999998</v>
      </c>
      <c r="P26" s="22">
        <f>9057+9057+1800+9200</f>
        <v>29114</v>
      </c>
      <c r="Q26" s="23">
        <f t="shared" si="1"/>
        <v>-7122.010000000002</v>
      </c>
      <c r="R26" s="37">
        <f>P26/O26</f>
        <v>1.3238456365249349</v>
      </c>
      <c r="S26" s="2"/>
    </row>
    <row r="27" spans="1:19" ht="81" x14ac:dyDescent="0.25">
      <c r="A27" s="97"/>
      <c r="B27" s="19">
        <v>17</v>
      </c>
      <c r="C27" s="20">
        <v>2.7</v>
      </c>
      <c r="D27" s="43" t="s">
        <v>75</v>
      </c>
      <c r="E27" s="44" t="s">
        <v>76</v>
      </c>
      <c r="F27" s="26" t="s">
        <v>64</v>
      </c>
      <c r="G27" s="26" t="s">
        <v>33</v>
      </c>
      <c r="H27" s="43" t="s">
        <v>77</v>
      </c>
      <c r="I27" s="10">
        <v>1</v>
      </c>
      <c r="J27" s="10">
        <v>0.87</v>
      </c>
      <c r="K27" s="10">
        <v>0.8</v>
      </c>
      <c r="L27" s="10">
        <f t="shared" si="2"/>
        <v>0.91954022988505757</v>
      </c>
      <c r="M27" s="10">
        <v>0.38</v>
      </c>
      <c r="N27" s="29">
        <v>183935.24</v>
      </c>
      <c r="O27" s="22">
        <f>52500+28435+33000</f>
        <v>113935</v>
      </c>
      <c r="P27" s="22">
        <f>52500+5880+12005.03</f>
        <v>70385.03</v>
      </c>
      <c r="Q27" s="23">
        <f t="shared" si="1"/>
        <v>43549.97</v>
      </c>
      <c r="R27" s="37">
        <f>P27/O27</f>
        <v>0.61776477816298769</v>
      </c>
      <c r="S27" s="2"/>
    </row>
    <row r="28" spans="1:19" ht="81" x14ac:dyDescent="0.25">
      <c r="A28" s="97"/>
      <c r="B28" s="19">
        <v>18</v>
      </c>
      <c r="C28" s="20">
        <v>2.8</v>
      </c>
      <c r="D28" s="43" t="s">
        <v>75</v>
      </c>
      <c r="E28" s="44" t="s">
        <v>76</v>
      </c>
      <c r="F28" s="26" t="s">
        <v>64</v>
      </c>
      <c r="G28" s="26" t="s">
        <v>33</v>
      </c>
      <c r="H28" s="43" t="s">
        <v>78</v>
      </c>
      <c r="I28" s="10">
        <v>0.98</v>
      </c>
      <c r="J28" s="10">
        <v>0.8</v>
      </c>
      <c r="K28" s="10">
        <v>0.75</v>
      </c>
      <c r="L28" s="10">
        <f t="shared" si="2"/>
        <v>0.9375</v>
      </c>
      <c r="M28" s="10">
        <v>0.38</v>
      </c>
      <c r="N28" s="22">
        <v>8635</v>
      </c>
      <c r="O28" s="22">
        <f>5000+5000+1635+2635</f>
        <v>14270</v>
      </c>
      <c r="P28" s="22">
        <f>5000+5000+1635+1635</f>
        <v>13270</v>
      </c>
      <c r="Q28" s="23">
        <f t="shared" si="1"/>
        <v>1000</v>
      </c>
      <c r="R28" s="37">
        <f>P28/O28</f>
        <v>0.92992291520672743</v>
      </c>
      <c r="S28" s="2"/>
    </row>
    <row r="29" spans="1:19" ht="36" x14ac:dyDescent="0.25">
      <c r="A29" s="97"/>
      <c r="B29" s="11">
        <v>19</v>
      </c>
      <c r="C29" s="12">
        <v>2.9</v>
      </c>
      <c r="D29" s="43" t="s">
        <v>79</v>
      </c>
      <c r="E29" s="44" t="s">
        <v>80</v>
      </c>
      <c r="F29" s="26" t="s">
        <v>81</v>
      </c>
      <c r="G29" s="26" t="s">
        <v>33</v>
      </c>
      <c r="H29" s="43" t="s">
        <v>82</v>
      </c>
      <c r="I29" s="10">
        <v>1</v>
      </c>
      <c r="J29" s="10">
        <v>0.9</v>
      </c>
      <c r="K29" s="10">
        <v>0.88</v>
      </c>
      <c r="L29" s="10">
        <f t="shared" si="2"/>
        <v>0.97777777777777775</v>
      </c>
      <c r="M29" s="10">
        <v>0.4</v>
      </c>
      <c r="N29" s="22">
        <v>18934</v>
      </c>
      <c r="O29" s="22">
        <f>4500+4500+4000+7841</f>
        <v>20841</v>
      </c>
      <c r="P29" s="22">
        <f>4500+4500+4000+5841</f>
        <v>18841</v>
      </c>
      <c r="Q29" s="23">
        <f t="shared" si="1"/>
        <v>2000</v>
      </c>
      <c r="R29" s="37">
        <f>P29/O29</f>
        <v>0.90403531500407852</v>
      </c>
      <c r="S29" s="2"/>
    </row>
    <row r="30" spans="1:19" ht="36" x14ac:dyDescent="0.25">
      <c r="A30" s="97"/>
      <c r="B30" s="19">
        <v>20</v>
      </c>
      <c r="C30" s="20">
        <v>3</v>
      </c>
      <c r="D30" s="43" t="s">
        <v>83</v>
      </c>
      <c r="E30" s="44" t="s">
        <v>84</v>
      </c>
      <c r="F30" s="45" t="s">
        <v>64</v>
      </c>
      <c r="G30" s="26" t="s">
        <v>33</v>
      </c>
      <c r="H30" s="43" t="s">
        <v>85</v>
      </c>
      <c r="I30" s="10">
        <v>1</v>
      </c>
      <c r="J30" s="10">
        <v>0.98</v>
      </c>
      <c r="K30" s="10">
        <f t="shared" si="4"/>
        <v>0.92960227821218266</v>
      </c>
      <c r="L30" s="10">
        <f t="shared" si="2"/>
        <v>0.94857375327773741</v>
      </c>
      <c r="M30" s="10">
        <v>0.45</v>
      </c>
      <c r="N30" s="29">
        <v>41936</v>
      </c>
      <c r="O30" s="22">
        <f>19968+19968+21968+20968</f>
        <v>82872</v>
      </c>
      <c r="P30" s="22">
        <f>19968+19968+18051+19051</f>
        <v>77038</v>
      </c>
      <c r="Q30" s="23">
        <f t="shared" si="1"/>
        <v>5834</v>
      </c>
      <c r="R30" s="37">
        <f>P30/N31</f>
        <v>0.14374143096256997</v>
      </c>
      <c r="S30" s="2"/>
    </row>
    <row r="31" spans="1:19" ht="27" x14ac:dyDescent="0.25">
      <c r="A31" s="97"/>
      <c r="B31" s="19">
        <v>21</v>
      </c>
      <c r="C31" s="20">
        <v>3.1</v>
      </c>
      <c r="D31" s="43" t="s">
        <v>86</v>
      </c>
      <c r="E31" s="44" t="s">
        <v>87</v>
      </c>
      <c r="F31" s="45" t="s">
        <v>81</v>
      </c>
      <c r="G31" s="26" t="s">
        <v>33</v>
      </c>
      <c r="H31" s="43" t="s">
        <v>88</v>
      </c>
      <c r="I31" s="10">
        <v>1</v>
      </c>
      <c r="J31" s="10">
        <v>0.91</v>
      </c>
      <c r="K31" s="10">
        <v>0.9</v>
      </c>
      <c r="L31" s="10">
        <f t="shared" si="2"/>
        <v>0.98901098901098905</v>
      </c>
      <c r="M31" s="10">
        <v>0.45</v>
      </c>
      <c r="N31" s="29">
        <v>535948.47</v>
      </c>
      <c r="O31" s="22">
        <f>360111+360111+27961+81960.5</f>
        <v>830143.5</v>
      </c>
      <c r="P31" s="22">
        <v>744661.5</v>
      </c>
      <c r="Q31" s="23">
        <f t="shared" si="1"/>
        <v>85482</v>
      </c>
      <c r="R31" s="37">
        <f t="shared" ref="R31:R36" si="5">P31/O31</f>
        <v>0.89702744164111381</v>
      </c>
      <c r="S31" s="2"/>
    </row>
    <row r="32" spans="1:19" ht="27" x14ac:dyDescent="0.25">
      <c r="A32" s="97"/>
      <c r="B32" s="11">
        <v>22</v>
      </c>
      <c r="C32" s="12">
        <v>3.2</v>
      </c>
      <c r="D32" s="43" t="s">
        <v>89</v>
      </c>
      <c r="E32" s="44" t="s">
        <v>90</v>
      </c>
      <c r="F32" s="45" t="s">
        <v>45</v>
      </c>
      <c r="G32" s="26" t="s">
        <v>33</v>
      </c>
      <c r="H32" s="43" t="s">
        <v>91</v>
      </c>
      <c r="I32" s="10">
        <v>1</v>
      </c>
      <c r="J32" s="10">
        <v>0.89</v>
      </c>
      <c r="K32" s="10">
        <v>0.8</v>
      </c>
      <c r="L32" s="10">
        <f t="shared" si="2"/>
        <v>0.89887640449438211</v>
      </c>
      <c r="M32" s="10">
        <v>0.49</v>
      </c>
      <c r="N32" s="29">
        <v>41934.980000000003</v>
      </c>
      <c r="O32" s="22">
        <f>20967+20967+20967+20967.49</f>
        <v>83868.490000000005</v>
      </c>
      <c r="P32" s="22">
        <f>20967+20967+20967+19741</f>
        <v>82642</v>
      </c>
      <c r="Q32" s="23">
        <f t="shared" si="1"/>
        <v>1226.4900000000052</v>
      </c>
      <c r="R32" s="37">
        <f t="shared" si="5"/>
        <v>0.98537603335889312</v>
      </c>
      <c r="S32" s="2"/>
    </row>
    <row r="33" spans="1:20" ht="36" x14ac:dyDescent="0.25">
      <c r="A33" s="97"/>
      <c r="B33" s="19">
        <v>23</v>
      </c>
      <c r="C33" s="20">
        <v>3.3</v>
      </c>
      <c r="D33" s="43" t="s">
        <v>92</v>
      </c>
      <c r="E33" s="44" t="s">
        <v>93</v>
      </c>
      <c r="F33" s="45" t="s">
        <v>45</v>
      </c>
      <c r="G33" s="26" t="s">
        <v>33</v>
      </c>
      <c r="H33" s="43" t="s">
        <v>94</v>
      </c>
      <c r="I33" s="10">
        <v>1</v>
      </c>
      <c r="J33" s="10">
        <v>0.88</v>
      </c>
      <c r="K33" s="10">
        <v>0.87</v>
      </c>
      <c r="L33" s="10">
        <f t="shared" si="2"/>
        <v>0.98863636363636365</v>
      </c>
      <c r="M33" s="10">
        <v>0.48</v>
      </c>
      <c r="N33" s="22">
        <v>48000</v>
      </c>
      <c r="O33" s="22">
        <f>21000+21000+4000+4000</f>
        <v>50000</v>
      </c>
      <c r="P33" s="22">
        <f>21000+21000+4000+4000</f>
        <v>50000</v>
      </c>
      <c r="Q33" s="23">
        <f t="shared" si="1"/>
        <v>0</v>
      </c>
      <c r="R33" s="37">
        <f t="shared" si="5"/>
        <v>1</v>
      </c>
      <c r="S33" s="2"/>
    </row>
    <row r="34" spans="1:20" s="24" customFormat="1" ht="36" x14ac:dyDescent="0.25">
      <c r="A34" s="96" t="s">
        <v>95</v>
      </c>
      <c r="B34" s="19">
        <v>24</v>
      </c>
      <c r="C34" s="20">
        <v>3.4</v>
      </c>
      <c r="D34" s="30" t="s">
        <v>96</v>
      </c>
      <c r="E34" s="21" t="s">
        <v>97</v>
      </c>
      <c r="F34" s="4" t="s">
        <v>45</v>
      </c>
      <c r="G34" s="26" t="s">
        <v>33</v>
      </c>
      <c r="H34" s="45" t="s">
        <v>98</v>
      </c>
      <c r="I34" s="10">
        <v>0.05</v>
      </c>
      <c r="J34" s="10">
        <v>0.9</v>
      </c>
      <c r="K34" s="10">
        <v>0.8</v>
      </c>
      <c r="L34" s="10">
        <f t="shared" si="2"/>
        <v>0.88888888888888895</v>
      </c>
      <c r="M34" s="91">
        <v>0.55000000000000004</v>
      </c>
      <c r="N34" s="22">
        <v>40000</v>
      </c>
      <c r="O34" s="46">
        <f>15000+15000+73593</f>
        <v>103593</v>
      </c>
      <c r="P34" s="46">
        <f>17500+83593</f>
        <v>101093</v>
      </c>
      <c r="Q34" s="23">
        <f t="shared" si="1"/>
        <v>2500</v>
      </c>
      <c r="R34" s="10">
        <f t="shared" si="5"/>
        <v>0.97586709526705473</v>
      </c>
      <c r="S34" s="2"/>
      <c r="T34" s="24">
        <v>3</v>
      </c>
    </row>
    <row r="35" spans="1:20" ht="36" x14ac:dyDescent="0.25">
      <c r="A35" s="97"/>
      <c r="B35" s="11">
        <v>25</v>
      </c>
      <c r="C35" s="12">
        <v>3.5</v>
      </c>
      <c r="D35" s="30" t="s">
        <v>99</v>
      </c>
      <c r="E35" s="47" t="s">
        <v>100</v>
      </c>
      <c r="F35" s="35" t="s">
        <v>45</v>
      </c>
      <c r="G35" s="26" t="s">
        <v>33</v>
      </c>
      <c r="H35" s="35" t="s">
        <v>101</v>
      </c>
      <c r="I35" s="10">
        <v>0.7</v>
      </c>
      <c r="J35" s="10">
        <f t="shared" si="4"/>
        <v>0.45136203475695585</v>
      </c>
      <c r="K35" s="10">
        <f t="shared" si="4"/>
        <v>0.63126248420366071</v>
      </c>
      <c r="L35" s="10">
        <f t="shared" si="2"/>
        <v>1.3985723999661945</v>
      </c>
      <c r="M35" s="91">
        <f>J35-K35</f>
        <v>-0.17990044944670486</v>
      </c>
      <c r="N35" s="22">
        <f>326093</f>
        <v>326093</v>
      </c>
      <c r="O35" s="32">
        <f>73593+73593</f>
        <v>147186</v>
      </c>
      <c r="P35" s="40">
        <f>19320+73593</f>
        <v>92913</v>
      </c>
      <c r="Q35" s="23">
        <f t="shared" si="1"/>
        <v>54273</v>
      </c>
      <c r="R35" s="10">
        <f t="shared" si="5"/>
        <v>0.63126248420366071</v>
      </c>
      <c r="S35" s="2"/>
    </row>
    <row r="36" spans="1:20" ht="45" x14ac:dyDescent="0.25">
      <c r="A36" s="97"/>
      <c r="B36" s="19">
        <v>26</v>
      </c>
      <c r="C36" s="20">
        <v>3.6</v>
      </c>
      <c r="D36" s="25" t="s">
        <v>102</v>
      </c>
      <c r="E36" s="31" t="s">
        <v>103</v>
      </c>
      <c r="F36" s="35" t="s">
        <v>45</v>
      </c>
      <c r="G36" s="26" t="s">
        <v>33</v>
      </c>
      <c r="H36" s="35" t="s">
        <v>104</v>
      </c>
      <c r="I36" s="10">
        <v>0.1</v>
      </c>
      <c r="J36" s="10">
        <f t="shared" si="4"/>
        <v>1.9250703285176178</v>
      </c>
      <c r="K36" s="10">
        <f t="shared" si="4"/>
        <v>0.79244148092059519</v>
      </c>
      <c r="L36" s="10">
        <f t="shared" si="2"/>
        <v>0.41164287308443803</v>
      </c>
      <c r="M36" s="91">
        <f>J36-K36</f>
        <v>1.1326288475970228</v>
      </c>
      <c r="N36" s="46">
        <v>293622</v>
      </c>
      <c r="O36" s="46">
        <f>156365+115256+293622</f>
        <v>565243</v>
      </c>
      <c r="P36" s="46">
        <v>447922</v>
      </c>
      <c r="Q36" s="23">
        <f t="shared" si="1"/>
        <v>117321</v>
      </c>
      <c r="R36" s="10">
        <f t="shared" si="5"/>
        <v>0.79244148092059519</v>
      </c>
      <c r="S36" s="2"/>
    </row>
    <row r="37" spans="1:20" ht="90" x14ac:dyDescent="0.25">
      <c r="A37" s="97"/>
      <c r="B37" s="19">
        <v>27</v>
      </c>
      <c r="C37" s="20">
        <v>3.7</v>
      </c>
      <c r="D37" s="43" t="s">
        <v>105</v>
      </c>
      <c r="E37" s="44" t="s">
        <v>106</v>
      </c>
      <c r="F37" s="35" t="s">
        <v>107</v>
      </c>
      <c r="G37" s="26" t="s">
        <v>33</v>
      </c>
      <c r="H37" s="35" t="s">
        <v>108</v>
      </c>
      <c r="I37" s="10">
        <v>1</v>
      </c>
      <c r="J37" s="10">
        <v>0.3</v>
      </c>
      <c r="K37" s="10">
        <v>0.25</v>
      </c>
      <c r="L37" s="10">
        <f t="shared" si="2"/>
        <v>0.83333333333333337</v>
      </c>
      <c r="M37" s="91">
        <f>J37-K37</f>
        <v>4.9999999999999989E-2</v>
      </c>
      <c r="N37" s="46">
        <f>P37</f>
        <v>186000</v>
      </c>
      <c r="O37" s="46">
        <f>90500+90500+5000</f>
        <v>186000</v>
      </c>
      <c r="P37" s="46">
        <f>90500+90500+5000</f>
        <v>186000</v>
      </c>
      <c r="Q37" s="23">
        <f t="shared" si="1"/>
        <v>0</v>
      </c>
      <c r="R37" s="10">
        <f>P37/O37</f>
        <v>1</v>
      </c>
      <c r="S37" s="2"/>
    </row>
    <row r="38" spans="1:20" ht="72" x14ac:dyDescent="0.25">
      <c r="A38" s="97"/>
      <c r="B38" s="11">
        <v>28</v>
      </c>
      <c r="C38" s="12">
        <v>3.8</v>
      </c>
      <c r="D38" s="25" t="s">
        <v>109</v>
      </c>
      <c r="E38" s="21" t="s">
        <v>110</v>
      </c>
      <c r="F38" s="1" t="s">
        <v>45</v>
      </c>
      <c r="G38" s="26" t="s">
        <v>33</v>
      </c>
      <c r="H38" s="35" t="s">
        <v>111</v>
      </c>
      <c r="I38" s="10">
        <v>0.44</v>
      </c>
      <c r="J38" s="10">
        <v>0.35</v>
      </c>
      <c r="K38" s="10">
        <v>0.2</v>
      </c>
      <c r="L38" s="10">
        <f t="shared" si="2"/>
        <v>0.57142857142857151</v>
      </c>
      <c r="M38" s="91">
        <f>J38-K38</f>
        <v>0.14999999999999997</v>
      </c>
      <c r="N38" s="46">
        <v>107934</v>
      </c>
      <c r="O38" s="32">
        <f>3211.65+1000</f>
        <v>4211.6499999999996</v>
      </c>
      <c r="P38" s="40">
        <f>22414+1000</f>
        <v>23414</v>
      </c>
      <c r="Q38" s="23">
        <f t="shared" si="1"/>
        <v>-19202.349999999999</v>
      </c>
      <c r="R38" s="10">
        <f>P38/O38</f>
        <v>5.5593413507770117</v>
      </c>
      <c r="S38" s="2"/>
    </row>
    <row r="39" spans="1:20" ht="72" x14ac:dyDescent="0.25">
      <c r="A39" s="97"/>
      <c r="B39" s="19">
        <v>29</v>
      </c>
      <c r="C39" s="20">
        <v>3.9</v>
      </c>
      <c r="D39" s="25" t="s">
        <v>109</v>
      </c>
      <c r="E39" s="21" t="s">
        <v>112</v>
      </c>
      <c r="F39" s="35" t="s">
        <v>45</v>
      </c>
      <c r="G39" s="26" t="s">
        <v>33</v>
      </c>
      <c r="H39" s="35" t="s">
        <v>111</v>
      </c>
      <c r="I39" s="10">
        <v>1</v>
      </c>
      <c r="J39" s="10">
        <v>0.6</v>
      </c>
      <c r="K39" s="10">
        <v>0.4</v>
      </c>
      <c r="L39" s="10">
        <f t="shared" si="2"/>
        <v>0.66666666666666674</v>
      </c>
      <c r="M39" s="91">
        <f t="shared" ref="M39:M51" si="6">J39-K39</f>
        <v>0.19999999999999996</v>
      </c>
      <c r="N39" s="46">
        <v>36000</v>
      </c>
      <c r="O39" s="46">
        <f>34000+34000+2000</f>
        <v>70000</v>
      </c>
      <c r="P39" s="46">
        <v>19119</v>
      </c>
      <c r="Q39" s="23">
        <f t="shared" si="1"/>
        <v>50881</v>
      </c>
      <c r="R39" s="10">
        <f>P39/O39</f>
        <v>0.27312857142857144</v>
      </c>
      <c r="S39" s="2"/>
    </row>
    <row r="40" spans="1:20" ht="27" x14ac:dyDescent="0.25">
      <c r="A40" s="98"/>
      <c r="B40" s="19">
        <v>30</v>
      </c>
      <c r="C40" s="20">
        <v>4</v>
      </c>
      <c r="D40" s="21" t="s">
        <v>113</v>
      </c>
      <c r="E40" s="21" t="s">
        <v>113</v>
      </c>
      <c r="F40" s="35" t="s">
        <v>45</v>
      </c>
      <c r="G40" s="26" t="s">
        <v>33</v>
      </c>
      <c r="H40" s="21" t="s">
        <v>113</v>
      </c>
      <c r="I40" s="37">
        <v>1</v>
      </c>
      <c r="J40" s="10">
        <v>0.9</v>
      </c>
      <c r="K40" s="10">
        <v>0.78</v>
      </c>
      <c r="L40" s="10">
        <f t="shared" si="2"/>
        <v>0.8666666666666667</v>
      </c>
      <c r="M40" s="91">
        <f t="shared" si="6"/>
        <v>0.12</v>
      </c>
      <c r="N40" s="46">
        <v>800573.04</v>
      </c>
      <c r="O40" s="46">
        <f>201393+201393+5000+201393.26</f>
        <v>609179.26</v>
      </c>
      <c r="P40" s="46">
        <v>596393.26</v>
      </c>
      <c r="Q40" s="23">
        <f t="shared" si="1"/>
        <v>12786</v>
      </c>
      <c r="R40" s="10">
        <f>P40/O40</f>
        <v>0.97901110421914228</v>
      </c>
      <c r="S40" s="2"/>
    </row>
    <row r="41" spans="1:20" ht="27" x14ac:dyDescent="0.25">
      <c r="A41" s="99" t="s">
        <v>114</v>
      </c>
      <c r="B41" s="11">
        <v>31</v>
      </c>
      <c r="C41" s="12">
        <v>4.0999999999999996</v>
      </c>
      <c r="D41" s="25" t="s">
        <v>115</v>
      </c>
      <c r="E41" s="25" t="s">
        <v>116</v>
      </c>
      <c r="F41" s="35" t="s">
        <v>45</v>
      </c>
      <c r="G41" s="26" t="s">
        <v>33</v>
      </c>
      <c r="H41" s="35" t="s">
        <v>117</v>
      </c>
      <c r="I41" s="37">
        <v>1</v>
      </c>
      <c r="J41" s="10">
        <v>0.6</v>
      </c>
      <c r="K41" s="10">
        <v>0.55000000000000004</v>
      </c>
      <c r="L41" s="10">
        <f t="shared" si="2"/>
        <v>0.91666666666666674</v>
      </c>
      <c r="M41" s="91">
        <f t="shared" si="6"/>
        <v>4.9999999999999933E-2</v>
      </c>
      <c r="N41" s="46">
        <v>46000</v>
      </c>
      <c r="O41" s="46">
        <f>7000+7000+9000+2000</f>
        <v>25000</v>
      </c>
      <c r="P41" s="46">
        <f>7000+7000+9000+2000</f>
        <v>25000</v>
      </c>
      <c r="Q41" s="23">
        <f t="shared" si="1"/>
        <v>0</v>
      </c>
      <c r="R41" s="10">
        <v>1</v>
      </c>
      <c r="S41" s="2"/>
    </row>
    <row r="42" spans="1:20" s="24" customFormat="1" ht="19.5" x14ac:dyDescent="0.25">
      <c r="A42" s="99"/>
      <c r="B42" s="19">
        <v>32</v>
      </c>
      <c r="C42" s="20">
        <v>4.2</v>
      </c>
      <c r="D42" s="25" t="s">
        <v>118</v>
      </c>
      <c r="E42" s="25" t="s">
        <v>119</v>
      </c>
      <c r="F42" s="35" t="s">
        <v>120</v>
      </c>
      <c r="G42" s="26" t="s">
        <v>33</v>
      </c>
      <c r="H42" s="35" t="s">
        <v>119</v>
      </c>
      <c r="I42" s="37">
        <v>0.4</v>
      </c>
      <c r="J42" s="10">
        <v>0.85</v>
      </c>
      <c r="K42" s="10">
        <v>0.82</v>
      </c>
      <c r="L42" s="10">
        <f t="shared" si="2"/>
        <v>0.96470588235294119</v>
      </c>
      <c r="M42" s="91">
        <f t="shared" si="6"/>
        <v>3.0000000000000027E-2</v>
      </c>
      <c r="N42" s="46">
        <v>18917</v>
      </c>
      <c r="O42" s="46">
        <f>4850+4850+4850+5750</f>
        <v>20300</v>
      </c>
      <c r="P42" s="46">
        <v>930354</v>
      </c>
      <c r="Q42" s="23">
        <f t="shared" si="1"/>
        <v>-910054</v>
      </c>
      <c r="R42" s="10">
        <f>P42/O42</f>
        <v>45.830246305418719</v>
      </c>
      <c r="S42" s="2"/>
    </row>
    <row r="43" spans="1:20" s="24" customFormat="1" ht="27" x14ac:dyDescent="0.25">
      <c r="A43" s="99"/>
      <c r="B43" s="19">
        <v>33</v>
      </c>
      <c r="C43" s="20">
        <v>4.3</v>
      </c>
      <c r="D43" s="25" t="s">
        <v>121</v>
      </c>
      <c r="E43" s="35" t="s">
        <v>120</v>
      </c>
      <c r="F43" s="35" t="s">
        <v>122</v>
      </c>
      <c r="G43" s="26" t="s">
        <v>33</v>
      </c>
      <c r="H43" s="35" t="s">
        <v>120</v>
      </c>
      <c r="I43" s="37">
        <v>0.2</v>
      </c>
      <c r="J43" s="10">
        <v>0.88</v>
      </c>
      <c r="K43" s="10">
        <v>0.77</v>
      </c>
      <c r="L43" s="10">
        <f t="shared" si="2"/>
        <v>0.875</v>
      </c>
      <c r="M43" s="91">
        <f t="shared" si="6"/>
        <v>0.10999999999999999</v>
      </c>
      <c r="N43" s="46">
        <v>200000</v>
      </c>
      <c r="O43" s="46">
        <f>48000+48000+48000+56000</f>
        <v>200000</v>
      </c>
      <c r="P43" s="46">
        <f>48000+48000+48000+56000</f>
        <v>200000</v>
      </c>
      <c r="Q43" s="23">
        <f t="shared" si="1"/>
        <v>0</v>
      </c>
      <c r="R43" s="10">
        <f>P43/O43</f>
        <v>1</v>
      </c>
      <c r="S43" s="2"/>
    </row>
    <row r="44" spans="1:20" ht="54.75" thickBot="1" x14ac:dyDescent="0.3">
      <c r="A44" s="99"/>
      <c r="B44" s="11">
        <v>34</v>
      </c>
      <c r="C44" s="12">
        <v>4.4000000000000004</v>
      </c>
      <c r="D44" s="48" t="s">
        <v>123</v>
      </c>
      <c r="E44" s="49" t="s">
        <v>124</v>
      </c>
      <c r="F44" s="38" t="s">
        <v>125</v>
      </c>
      <c r="G44" s="26" t="s">
        <v>33</v>
      </c>
      <c r="H44" s="35" t="s">
        <v>126</v>
      </c>
      <c r="I44" s="37">
        <v>0.3</v>
      </c>
      <c r="J44" s="10">
        <v>0.78</v>
      </c>
      <c r="K44" s="10">
        <v>0.7</v>
      </c>
      <c r="L44" s="10">
        <f t="shared" si="2"/>
        <v>0.89743589743589736</v>
      </c>
      <c r="M44" s="91">
        <f t="shared" si="6"/>
        <v>8.0000000000000071E-2</v>
      </c>
      <c r="N44" s="46">
        <v>15682</v>
      </c>
      <c r="O44" s="46">
        <f>5000+5000</f>
        <v>10000</v>
      </c>
      <c r="P44" s="46">
        <v>14320</v>
      </c>
      <c r="Q44" s="23">
        <f t="shared" si="1"/>
        <v>-4320</v>
      </c>
      <c r="R44" s="10" t="s">
        <v>35</v>
      </c>
      <c r="S44" s="2"/>
    </row>
    <row r="45" spans="1:20" ht="36.75" thickTop="1" x14ac:dyDescent="0.25">
      <c r="A45" s="99"/>
      <c r="B45" s="19">
        <v>35</v>
      </c>
      <c r="C45" s="20">
        <v>4.5</v>
      </c>
      <c r="D45" s="25" t="s">
        <v>127</v>
      </c>
      <c r="E45" s="49" t="s">
        <v>128</v>
      </c>
      <c r="F45" s="35" t="s">
        <v>122</v>
      </c>
      <c r="G45" s="26" t="s">
        <v>33</v>
      </c>
      <c r="H45" s="25" t="s">
        <v>129</v>
      </c>
      <c r="I45" s="10">
        <v>0.01</v>
      </c>
      <c r="J45" s="10">
        <v>0.9</v>
      </c>
      <c r="K45" s="10">
        <v>0.8</v>
      </c>
      <c r="L45" s="10">
        <f t="shared" si="2"/>
        <v>0.88888888888888895</v>
      </c>
      <c r="M45" s="91">
        <f t="shared" si="6"/>
        <v>9.9999999999999978E-2</v>
      </c>
      <c r="N45" s="46">
        <v>7841</v>
      </c>
      <c r="O45" s="46">
        <f>2500+5341+2500</f>
        <v>10341</v>
      </c>
      <c r="P45" s="46">
        <f>2000+5341+2000</f>
        <v>9341</v>
      </c>
      <c r="Q45" s="23">
        <f t="shared" si="1"/>
        <v>1000</v>
      </c>
      <c r="R45" s="10" t="s">
        <v>35</v>
      </c>
      <c r="S45" s="2"/>
    </row>
    <row r="46" spans="1:20" ht="36.75" thickBot="1" x14ac:dyDescent="0.3">
      <c r="A46" s="99"/>
      <c r="B46" s="19">
        <v>36</v>
      </c>
      <c r="C46" s="20">
        <v>4.5999999999999996</v>
      </c>
      <c r="D46" s="25" t="s">
        <v>127</v>
      </c>
      <c r="E46" s="49" t="s">
        <v>130</v>
      </c>
      <c r="F46" s="35" t="s">
        <v>122</v>
      </c>
      <c r="G46" s="26" t="s">
        <v>33</v>
      </c>
      <c r="H46" s="25" t="s">
        <v>129</v>
      </c>
      <c r="I46" s="10">
        <v>0.3</v>
      </c>
      <c r="J46" s="10">
        <f t="shared" si="4"/>
        <v>1.3188368830506314</v>
      </c>
      <c r="K46" s="10">
        <v>0.28000000000000003</v>
      </c>
      <c r="L46" s="10">
        <f t="shared" si="2"/>
        <v>0.21230828739967122</v>
      </c>
      <c r="M46" s="91">
        <f t="shared" si="6"/>
        <v>1.0388368830506314</v>
      </c>
      <c r="N46" s="46">
        <v>7841</v>
      </c>
      <c r="O46" s="50">
        <f>2500+5341+2500</f>
        <v>10341</v>
      </c>
      <c r="P46" s="50">
        <f>2500+2500</f>
        <v>5000</v>
      </c>
      <c r="Q46" s="23">
        <f t="shared" si="1"/>
        <v>5341</v>
      </c>
      <c r="R46" s="10" t="s">
        <v>35</v>
      </c>
      <c r="S46" s="2"/>
    </row>
    <row r="47" spans="1:20" ht="36.75" thickTop="1" x14ac:dyDescent="0.25">
      <c r="A47" s="99"/>
      <c r="B47" s="11">
        <v>37</v>
      </c>
      <c r="C47" s="12">
        <v>4.7</v>
      </c>
      <c r="D47" s="25" t="s">
        <v>127</v>
      </c>
      <c r="E47" s="49" t="s">
        <v>131</v>
      </c>
      <c r="F47" s="35" t="s">
        <v>122</v>
      </c>
      <c r="G47" s="26" t="s">
        <v>33</v>
      </c>
      <c r="H47" s="25" t="s">
        <v>129</v>
      </c>
      <c r="I47" s="10">
        <v>0.01</v>
      </c>
      <c r="J47" s="10">
        <v>0.86</v>
      </c>
      <c r="K47" s="10">
        <v>0.7</v>
      </c>
      <c r="L47" s="10">
        <f t="shared" si="2"/>
        <v>0.81395348837209303</v>
      </c>
      <c r="M47" s="91">
        <f t="shared" si="6"/>
        <v>0.16000000000000003</v>
      </c>
      <c r="N47" s="46">
        <v>26934</v>
      </c>
      <c r="O47" s="51">
        <f>3000+3000+20000</f>
        <v>26000</v>
      </c>
      <c r="P47" s="51">
        <f>3000+3000+5341+28318.62</f>
        <v>39659.619999999995</v>
      </c>
      <c r="Q47" s="23">
        <f t="shared" si="1"/>
        <v>-13659.619999999995</v>
      </c>
      <c r="R47" s="10">
        <f t="shared" ref="R47:R50" si="7">P47/O47</f>
        <v>1.5253699999999999</v>
      </c>
      <c r="S47" s="2"/>
    </row>
    <row r="48" spans="1:20" ht="36" x14ac:dyDescent="0.25">
      <c r="A48" s="99"/>
      <c r="B48" s="19">
        <v>38</v>
      </c>
      <c r="C48" s="20">
        <v>4.7999999999999901</v>
      </c>
      <c r="D48" s="25" t="s">
        <v>127</v>
      </c>
      <c r="E48" s="49" t="s">
        <v>132</v>
      </c>
      <c r="F48" s="35" t="s">
        <v>122</v>
      </c>
      <c r="G48" s="26" t="s">
        <v>33</v>
      </c>
      <c r="H48" s="25" t="s">
        <v>129</v>
      </c>
      <c r="I48" s="10">
        <v>0.02</v>
      </c>
      <c r="J48" s="10">
        <v>0.88</v>
      </c>
      <c r="K48" s="10">
        <v>0.7</v>
      </c>
      <c r="L48" s="10">
        <f t="shared" si="2"/>
        <v>0.79545454545454541</v>
      </c>
      <c r="M48" s="91">
        <f t="shared" si="6"/>
        <v>0.18000000000000005</v>
      </c>
      <c r="N48" s="52">
        <v>91934</v>
      </c>
      <c r="O48" s="51">
        <f>30000+30000</f>
        <v>60000</v>
      </c>
      <c r="P48" s="51">
        <f>29400+30000</f>
        <v>59400</v>
      </c>
      <c r="Q48" s="23">
        <f t="shared" si="1"/>
        <v>600</v>
      </c>
      <c r="R48" s="10">
        <f t="shared" si="7"/>
        <v>0.99</v>
      </c>
      <c r="S48" s="2"/>
    </row>
    <row r="49" spans="1:19" ht="36" x14ac:dyDescent="0.25">
      <c r="A49" s="99"/>
      <c r="B49" s="19">
        <v>39</v>
      </c>
      <c r="C49" s="20">
        <v>4.8999999999999897</v>
      </c>
      <c r="D49" s="25" t="s">
        <v>127</v>
      </c>
      <c r="E49" s="49" t="s">
        <v>133</v>
      </c>
      <c r="F49" s="35" t="s">
        <v>122</v>
      </c>
      <c r="G49" s="26" t="s">
        <v>33</v>
      </c>
      <c r="H49" s="25" t="s">
        <v>129</v>
      </c>
      <c r="I49" s="10">
        <v>0.03</v>
      </c>
      <c r="J49" s="10">
        <f t="shared" si="4"/>
        <v>6.1854355311822475</v>
      </c>
      <c r="K49" s="10">
        <f t="shared" si="4"/>
        <v>1</v>
      </c>
      <c r="L49" s="10">
        <f t="shared" si="2"/>
        <v>0.16167010309278348</v>
      </c>
      <c r="M49" s="91">
        <f t="shared" si="6"/>
        <v>5.1854355311822475</v>
      </c>
      <c r="N49" s="51">
        <v>7841</v>
      </c>
      <c r="O49" s="51">
        <f>2500+30000+8000+8000</f>
        <v>48500</v>
      </c>
      <c r="P49" s="51">
        <f>2500+30000+8000+8000</f>
        <v>48500</v>
      </c>
      <c r="Q49" s="23">
        <f t="shared" si="1"/>
        <v>0</v>
      </c>
      <c r="R49" s="10">
        <f t="shared" si="7"/>
        <v>1</v>
      </c>
      <c r="S49" s="2"/>
    </row>
    <row r="50" spans="1:19" s="24" customFormat="1" ht="54.75" thickBot="1" x14ac:dyDescent="0.3">
      <c r="A50" s="99"/>
      <c r="B50" s="11">
        <v>40</v>
      </c>
      <c r="C50" s="78">
        <v>5</v>
      </c>
      <c r="D50" s="25" t="s">
        <v>134</v>
      </c>
      <c r="E50" s="31" t="s">
        <v>135</v>
      </c>
      <c r="F50" s="35" t="s">
        <v>136</v>
      </c>
      <c r="G50" s="26" t="s">
        <v>33</v>
      </c>
      <c r="H50" s="38" t="s">
        <v>137</v>
      </c>
      <c r="I50" s="37">
        <v>0.18</v>
      </c>
      <c r="J50" s="10">
        <v>0.95</v>
      </c>
      <c r="K50" s="10">
        <v>0.8</v>
      </c>
      <c r="L50" s="10">
        <f t="shared" si="2"/>
        <v>0.8421052631578948</v>
      </c>
      <c r="M50" s="91">
        <f t="shared" si="6"/>
        <v>0.14999999999999991</v>
      </c>
      <c r="N50" s="51">
        <v>24000</v>
      </c>
      <c r="O50" s="32">
        <f>4300+4300+6000</f>
        <v>14600</v>
      </c>
      <c r="P50" s="32">
        <f>4300+4300+6000</f>
        <v>14600</v>
      </c>
      <c r="Q50" s="23">
        <f t="shared" si="1"/>
        <v>0</v>
      </c>
      <c r="R50" s="10">
        <f t="shared" si="7"/>
        <v>1</v>
      </c>
      <c r="S50" s="77"/>
    </row>
    <row r="51" spans="1:19" ht="72" x14ac:dyDescent="0.25">
      <c r="A51" s="100" t="s">
        <v>138</v>
      </c>
      <c r="B51" s="19">
        <v>41</v>
      </c>
      <c r="C51" s="20">
        <v>5.0999999999999899</v>
      </c>
      <c r="D51" s="25" t="s">
        <v>139</v>
      </c>
      <c r="E51" s="49" t="s">
        <v>140</v>
      </c>
      <c r="F51" s="2" t="s">
        <v>141</v>
      </c>
      <c r="G51" s="26" t="s">
        <v>33</v>
      </c>
      <c r="H51" s="35" t="s">
        <v>142</v>
      </c>
      <c r="I51" s="37">
        <v>0.01</v>
      </c>
      <c r="J51" s="10">
        <v>0.88</v>
      </c>
      <c r="K51" s="10">
        <v>0.81</v>
      </c>
      <c r="L51" s="10">
        <f t="shared" si="2"/>
        <v>0.92045454545454553</v>
      </c>
      <c r="M51" s="91">
        <f t="shared" si="6"/>
        <v>6.9999999999999951E-2</v>
      </c>
      <c r="N51" s="51">
        <v>27910</v>
      </c>
      <c r="O51" s="32">
        <f>6000+6000+1500</f>
        <v>13500</v>
      </c>
      <c r="P51" s="32">
        <f>1500+6000</f>
        <v>7500</v>
      </c>
      <c r="Q51" s="23">
        <f t="shared" si="1"/>
        <v>6000</v>
      </c>
      <c r="R51" s="10">
        <v>1</v>
      </c>
      <c r="S51" s="2"/>
    </row>
    <row r="52" spans="1:19" ht="99" x14ac:dyDescent="0.25">
      <c r="A52" s="99"/>
      <c r="B52" s="19">
        <v>42</v>
      </c>
      <c r="C52" s="20">
        <v>5.1999999999999904</v>
      </c>
      <c r="D52" s="25" t="s">
        <v>134</v>
      </c>
      <c r="E52" s="31" t="s">
        <v>143</v>
      </c>
      <c r="F52" s="2" t="s">
        <v>137</v>
      </c>
      <c r="G52" s="26" t="s">
        <v>33</v>
      </c>
      <c r="H52" s="35" t="s">
        <v>136</v>
      </c>
      <c r="I52" s="37">
        <v>0.18</v>
      </c>
      <c r="J52" s="10">
        <f t="shared" si="4"/>
        <v>8.9099999999999999E-2</v>
      </c>
      <c r="K52" s="10">
        <f t="shared" si="4"/>
        <v>0.94388327721661058</v>
      </c>
      <c r="L52" s="10">
        <f t="shared" si="2"/>
        <v>10.593527241488335</v>
      </c>
      <c r="M52" s="91">
        <f>J52-K52</f>
        <v>-0.85478327721661063</v>
      </c>
      <c r="N52" s="52">
        <v>200000</v>
      </c>
      <c r="O52" s="46">
        <f>2910+2910+12000</f>
        <v>17820</v>
      </c>
      <c r="P52" s="46">
        <f>2910+2910+11000</f>
        <v>16820</v>
      </c>
      <c r="Q52" s="23">
        <f t="shared" si="1"/>
        <v>1000</v>
      </c>
      <c r="R52" s="10">
        <f>P52/O52</f>
        <v>0.94388327721661058</v>
      </c>
      <c r="S52" s="2"/>
    </row>
    <row r="53" spans="1:19" ht="54.75" thickBot="1" x14ac:dyDescent="0.3">
      <c r="A53" s="99"/>
      <c r="B53" s="11">
        <v>43</v>
      </c>
      <c r="C53" s="12">
        <v>5.2999999999999901</v>
      </c>
      <c r="D53" s="53" t="s">
        <v>144</v>
      </c>
      <c r="E53" s="21" t="s">
        <v>145</v>
      </c>
      <c r="F53" s="2" t="s">
        <v>141</v>
      </c>
      <c r="G53" s="26" t="s">
        <v>33</v>
      </c>
      <c r="H53" s="53" t="s">
        <v>144</v>
      </c>
      <c r="I53" s="10">
        <v>1</v>
      </c>
      <c r="J53" s="10">
        <v>0.95</v>
      </c>
      <c r="K53" s="10">
        <v>0.8</v>
      </c>
      <c r="L53" s="10">
        <f t="shared" si="2"/>
        <v>0.8421052631578948</v>
      </c>
      <c r="M53" s="91">
        <f>J53-K53</f>
        <v>0.14999999999999991</v>
      </c>
      <c r="N53" s="46">
        <v>9000</v>
      </c>
      <c r="O53" s="50">
        <f>2000+2000+2000</f>
        <v>6000</v>
      </c>
      <c r="P53" s="50">
        <f>2000+2000+2000</f>
        <v>6000</v>
      </c>
      <c r="Q53" s="23">
        <f t="shared" si="1"/>
        <v>0</v>
      </c>
      <c r="R53" s="10">
        <v>1</v>
      </c>
      <c r="S53" s="2"/>
    </row>
    <row r="54" spans="1:19" ht="45.75" thickTop="1" x14ac:dyDescent="0.25">
      <c r="A54" s="99"/>
      <c r="B54" s="19">
        <v>44</v>
      </c>
      <c r="C54" s="20">
        <v>5.3999999999999897</v>
      </c>
      <c r="D54" s="49" t="s">
        <v>146</v>
      </c>
      <c r="E54" s="49" t="s">
        <v>147</v>
      </c>
      <c r="F54" s="2" t="s">
        <v>45</v>
      </c>
      <c r="G54" s="26" t="s">
        <v>33</v>
      </c>
      <c r="H54" s="35" t="s">
        <v>148</v>
      </c>
      <c r="I54" s="37">
        <v>1</v>
      </c>
      <c r="J54" s="10">
        <v>0.75</v>
      </c>
      <c r="K54" s="10">
        <v>0.5</v>
      </c>
      <c r="L54" s="10">
        <f t="shared" si="2"/>
        <v>0.66666666666666663</v>
      </c>
      <c r="M54" s="91">
        <v>0.9</v>
      </c>
      <c r="N54" s="46">
        <v>110155.97</v>
      </c>
      <c r="O54" s="51">
        <f>41578+41578+13500+41577.98</f>
        <v>138233.98000000001</v>
      </c>
      <c r="P54" s="51">
        <f>7600+7600+21050+41578</f>
        <v>77828</v>
      </c>
      <c r="Q54" s="23">
        <f t="shared" si="1"/>
        <v>60405.98000000001</v>
      </c>
      <c r="R54" s="10">
        <f>P54/O54</f>
        <v>0.56301641607946173</v>
      </c>
      <c r="S54" s="2"/>
    </row>
    <row r="55" spans="1:19" ht="27" x14ac:dyDescent="0.25">
      <c r="A55" s="99"/>
      <c r="B55" s="19">
        <v>45</v>
      </c>
      <c r="C55" s="20">
        <v>5.4999999999999902</v>
      </c>
      <c r="D55" s="49" t="s">
        <v>149</v>
      </c>
      <c r="E55" s="49" t="s">
        <v>150</v>
      </c>
      <c r="F55" s="2" t="s">
        <v>151</v>
      </c>
      <c r="G55" s="26" t="s">
        <v>33</v>
      </c>
      <c r="H55" s="35" t="s">
        <v>152</v>
      </c>
      <c r="I55" s="37">
        <v>1</v>
      </c>
      <c r="J55" s="10">
        <v>0.68</v>
      </c>
      <c r="K55" s="10">
        <v>0.55000000000000004</v>
      </c>
      <c r="L55" s="10">
        <f t="shared" si="2"/>
        <v>0.80882352941176472</v>
      </c>
      <c r="M55" s="91">
        <v>0.9</v>
      </c>
      <c r="N55" s="52">
        <v>12000</v>
      </c>
      <c r="O55" s="51">
        <f>6000+6000</f>
        <v>12000</v>
      </c>
      <c r="P55" s="51">
        <f>6000+6000</f>
        <v>12000</v>
      </c>
      <c r="Q55" s="23">
        <f t="shared" si="1"/>
        <v>0</v>
      </c>
      <c r="R55" s="10" t="s">
        <v>35</v>
      </c>
      <c r="S55" s="2"/>
    </row>
    <row r="56" spans="1:19" ht="99.75" thickBot="1" x14ac:dyDescent="0.3">
      <c r="A56" s="99"/>
      <c r="B56" s="11">
        <v>46</v>
      </c>
      <c r="C56" s="12">
        <v>5.5999999999999899</v>
      </c>
      <c r="D56" s="25" t="s">
        <v>134</v>
      </c>
      <c r="E56" s="31" t="s">
        <v>143</v>
      </c>
      <c r="F56" s="2" t="s">
        <v>137</v>
      </c>
      <c r="G56" s="26" t="s">
        <v>33</v>
      </c>
      <c r="H56" s="35" t="s">
        <v>136</v>
      </c>
      <c r="I56" s="37">
        <v>0.18</v>
      </c>
      <c r="J56" s="10">
        <v>1</v>
      </c>
      <c r="K56" s="10">
        <v>0.9</v>
      </c>
      <c r="L56" s="10">
        <f t="shared" si="2"/>
        <v>0.9</v>
      </c>
      <c r="M56" s="91">
        <v>0.78</v>
      </c>
      <c r="N56" s="54">
        <v>17000</v>
      </c>
      <c r="O56" s="51">
        <f>2500+2500+2500</f>
        <v>7500</v>
      </c>
      <c r="P56" s="51">
        <f>2500+2500+2500</f>
        <v>7500</v>
      </c>
      <c r="Q56" s="23">
        <f t="shared" si="1"/>
        <v>0</v>
      </c>
      <c r="R56" s="10">
        <f>P56/O56</f>
        <v>1</v>
      </c>
      <c r="S56" s="2"/>
    </row>
    <row r="57" spans="1:19" ht="99.75" thickTop="1" x14ac:dyDescent="0.25">
      <c r="A57" s="99"/>
      <c r="B57" s="19">
        <v>47</v>
      </c>
      <c r="C57" s="20">
        <v>5.6999999999999904</v>
      </c>
      <c r="D57" s="25" t="s">
        <v>134</v>
      </c>
      <c r="E57" s="31" t="s">
        <v>143</v>
      </c>
      <c r="F57" s="2" t="s">
        <v>137</v>
      </c>
      <c r="G57" s="26" t="s">
        <v>33</v>
      </c>
      <c r="H57" s="35" t="s">
        <v>136</v>
      </c>
      <c r="I57" s="37">
        <v>0.18</v>
      </c>
      <c r="J57" s="10">
        <v>1</v>
      </c>
      <c r="K57" s="10">
        <v>0.95</v>
      </c>
      <c r="L57" s="10">
        <f t="shared" si="2"/>
        <v>0.95</v>
      </c>
      <c r="M57" s="93">
        <v>0.8</v>
      </c>
      <c r="N57" s="51">
        <v>6017.42</v>
      </c>
      <c r="O57" s="51">
        <f>1817+1817</f>
        <v>3634</v>
      </c>
      <c r="P57" s="51">
        <f>1817+1817</f>
        <v>3634</v>
      </c>
      <c r="Q57" s="23">
        <f t="shared" si="1"/>
        <v>0</v>
      </c>
      <c r="R57" s="10" t="s">
        <v>35</v>
      </c>
      <c r="S57" s="2"/>
    </row>
    <row r="58" spans="1:19" ht="99" x14ac:dyDescent="0.25">
      <c r="A58" s="99"/>
      <c r="B58" s="19">
        <v>48</v>
      </c>
      <c r="C58" s="20">
        <v>5.7999999999999901</v>
      </c>
      <c r="D58" s="25" t="s">
        <v>134</v>
      </c>
      <c r="E58" s="31" t="s">
        <v>143</v>
      </c>
      <c r="F58" s="2" t="s">
        <v>137</v>
      </c>
      <c r="G58" s="26" t="s">
        <v>33</v>
      </c>
      <c r="H58" s="35" t="s">
        <v>136</v>
      </c>
      <c r="I58" s="37">
        <v>0.08</v>
      </c>
      <c r="J58" s="10">
        <v>0.96</v>
      </c>
      <c r="K58" s="10">
        <v>0.85</v>
      </c>
      <c r="L58" s="10">
        <f t="shared" si="2"/>
        <v>0.88541666666666663</v>
      </c>
      <c r="M58" s="91">
        <v>0.8</v>
      </c>
      <c r="N58" s="51">
        <v>8000</v>
      </c>
      <c r="O58" s="51">
        <f>1000+1000+2000</f>
        <v>4000</v>
      </c>
      <c r="P58" s="51">
        <f>1000+1000+2000</f>
        <v>4000</v>
      </c>
      <c r="Q58" s="23">
        <f t="shared" si="1"/>
        <v>0</v>
      </c>
      <c r="R58" s="10">
        <f>P58/O58</f>
        <v>1</v>
      </c>
      <c r="S58" s="2"/>
    </row>
    <row r="59" spans="1:19" ht="36.75" thickBot="1" x14ac:dyDescent="0.3">
      <c r="A59" s="99"/>
      <c r="B59" s="11">
        <v>49</v>
      </c>
      <c r="C59" s="12">
        <v>5.8999999999999897</v>
      </c>
      <c r="D59" s="25" t="s">
        <v>153</v>
      </c>
      <c r="E59" s="21" t="s">
        <v>154</v>
      </c>
      <c r="F59" s="35" t="s">
        <v>155</v>
      </c>
      <c r="G59" s="26" t="s">
        <v>33</v>
      </c>
      <c r="H59" s="35" t="s">
        <v>155</v>
      </c>
      <c r="I59" s="10">
        <v>1</v>
      </c>
      <c r="J59" s="10">
        <v>0.75</v>
      </c>
      <c r="K59" s="10">
        <v>0.4</v>
      </c>
      <c r="L59" s="10">
        <f t="shared" si="2"/>
        <v>0.53333333333333333</v>
      </c>
      <c r="M59" s="81"/>
      <c r="N59" s="51">
        <v>8000</v>
      </c>
      <c r="O59" s="46">
        <f>1000+1000+2000</f>
        <v>4000</v>
      </c>
      <c r="P59" s="32">
        <f>1000+1000+2000</f>
        <v>4000</v>
      </c>
      <c r="Q59" s="23">
        <f t="shared" si="1"/>
        <v>0</v>
      </c>
      <c r="R59" s="10">
        <f>P59/O59</f>
        <v>1</v>
      </c>
      <c r="S59" s="2"/>
    </row>
    <row r="60" spans="1:19" ht="45" x14ac:dyDescent="0.25">
      <c r="A60" s="100">
        <v>6</v>
      </c>
      <c r="B60" s="19">
        <v>50</v>
      </c>
      <c r="C60" s="20">
        <v>5.9999999999999902</v>
      </c>
      <c r="D60" s="25" t="s">
        <v>156</v>
      </c>
      <c r="E60" s="21" t="s">
        <v>157</v>
      </c>
      <c r="F60" s="35" t="s">
        <v>158</v>
      </c>
      <c r="G60" s="26" t="s">
        <v>33</v>
      </c>
      <c r="H60" s="35" t="s">
        <v>159</v>
      </c>
      <c r="I60" s="10">
        <v>1</v>
      </c>
      <c r="J60" s="10">
        <v>0.6</v>
      </c>
      <c r="K60" s="10">
        <v>0.4</v>
      </c>
      <c r="L60" s="10">
        <f t="shared" si="2"/>
        <v>0.66666666666666674</v>
      </c>
      <c r="M60" s="91">
        <v>0.75</v>
      </c>
      <c r="N60" s="51">
        <v>15683.96</v>
      </c>
      <c r="O60" s="46" t="s">
        <v>35</v>
      </c>
      <c r="P60" s="32" t="s">
        <v>35</v>
      </c>
      <c r="Q60" s="23" t="e">
        <f t="shared" si="1"/>
        <v>#VALUE!</v>
      </c>
      <c r="R60" s="10" t="s">
        <v>35</v>
      </c>
      <c r="S60" s="2"/>
    </row>
    <row r="61" spans="1:19" ht="36" x14ac:dyDescent="0.25">
      <c r="A61" s="99"/>
      <c r="B61" s="19">
        <v>51</v>
      </c>
      <c r="C61" s="20">
        <v>6.0999999999999899</v>
      </c>
      <c r="D61" s="25" t="s">
        <v>160</v>
      </c>
      <c r="E61" s="21" t="s">
        <v>161</v>
      </c>
      <c r="F61" s="35" t="s">
        <v>162</v>
      </c>
      <c r="G61" s="26" t="s">
        <v>33</v>
      </c>
      <c r="H61" s="35" t="s">
        <v>158</v>
      </c>
      <c r="I61" s="10">
        <v>1</v>
      </c>
      <c r="J61" s="10">
        <v>0.8</v>
      </c>
      <c r="K61" s="10">
        <v>0.6</v>
      </c>
      <c r="L61" s="10">
        <f t="shared" si="2"/>
        <v>0.74999999999999989</v>
      </c>
      <c r="M61" s="91">
        <f t="shared" ref="M61:M72" si="8">J61-K61</f>
        <v>0.20000000000000007</v>
      </c>
      <c r="N61" s="51">
        <v>178935.27</v>
      </c>
      <c r="O61" s="46">
        <f>38562.39+30562</f>
        <v>69124.39</v>
      </c>
      <c r="P61" s="46">
        <f>38562.39+30562</f>
        <v>69124.39</v>
      </c>
      <c r="Q61" s="23">
        <f t="shared" si="1"/>
        <v>0</v>
      </c>
      <c r="R61" s="10">
        <f>P61/O61</f>
        <v>1</v>
      </c>
      <c r="S61" s="2"/>
    </row>
    <row r="62" spans="1:19" ht="45" x14ac:dyDescent="0.25">
      <c r="A62" s="99"/>
      <c r="B62" s="11">
        <v>52</v>
      </c>
      <c r="C62" s="12">
        <v>6.1999999999999904</v>
      </c>
      <c r="D62" s="25" t="s">
        <v>163</v>
      </c>
      <c r="E62" s="21" t="s">
        <v>164</v>
      </c>
      <c r="F62" s="35" t="s">
        <v>162</v>
      </c>
      <c r="G62" s="26" t="s">
        <v>33</v>
      </c>
      <c r="H62" s="35" t="s">
        <v>162</v>
      </c>
      <c r="I62" s="10">
        <v>1</v>
      </c>
      <c r="J62" s="10">
        <v>1</v>
      </c>
      <c r="K62" s="10">
        <v>0.89</v>
      </c>
      <c r="L62" s="10">
        <f t="shared" si="2"/>
        <v>0.89</v>
      </c>
      <c r="M62" s="91">
        <f t="shared" si="8"/>
        <v>0.10999999999999999</v>
      </c>
      <c r="N62" s="92">
        <f>O62</f>
        <v>512815</v>
      </c>
      <c r="O62" s="46">
        <v>512815</v>
      </c>
      <c r="P62" s="46">
        <v>448975</v>
      </c>
      <c r="Q62" s="23">
        <f t="shared" si="1"/>
        <v>63840</v>
      </c>
      <c r="R62" s="10">
        <f t="shared" ref="R62:R68" si="9">P62/O62</f>
        <v>0.87551066173961367</v>
      </c>
      <c r="S62" s="2"/>
    </row>
    <row r="63" spans="1:19" ht="45" x14ac:dyDescent="0.25">
      <c r="A63" s="99"/>
      <c r="B63" s="19">
        <v>53</v>
      </c>
      <c r="C63" s="20">
        <v>6.2999999999999901</v>
      </c>
      <c r="D63" s="25" t="s">
        <v>165</v>
      </c>
      <c r="E63" s="38" t="s">
        <v>164</v>
      </c>
      <c r="F63" s="2" t="s">
        <v>151</v>
      </c>
      <c r="G63" s="26" t="s">
        <v>33</v>
      </c>
      <c r="H63" s="35" t="s">
        <v>162</v>
      </c>
      <c r="I63" s="10">
        <v>1</v>
      </c>
      <c r="J63" s="10">
        <v>0.95</v>
      </c>
      <c r="K63" s="10">
        <v>0.88</v>
      </c>
      <c r="L63" s="10">
        <f t="shared" si="2"/>
        <v>0.9263157894736842</v>
      </c>
      <c r="M63" s="91">
        <f t="shared" si="8"/>
        <v>6.9999999999999951E-2</v>
      </c>
      <c r="N63" s="46">
        <v>137900.97</v>
      </c>
      <c r="O63" s="46">
        <f>45966.99+90934</f>
        <v>136900.99</v>
      </c>
      <c r="P63" s="46">
        <f>45966.99+90934</f>
        <v>136900.99</v>
      </c>
      <c r="Q63" s="23">
        <f t="shared" si="1"/>
        <v>0</v>
      </c>
      <c r="R63" s="10">
        <f t="shared" si="9"/>
        <v>1</v>
      </c>
      <c r="S63" s="2"/>
    </row>
    <row r="64" spans="1:19" ht="27" x14ac:dyDescent="0.25">
      <c r="A64" s="99"/>
      <c r="B64" s="19">
        <v>54</v>
      </c>
      <c r="C64" s="20">
        <v>6.3999999999999897</v>
      </c>
      <c r="D64" s="55" t="s">
        <v>166</v>
      </c>
      <c r="E64" s="31" t="s">
        <v>167</v>
      </c>
      <c r="F64" s="35" t="s">
        <v>45</v>
      </c>
      <c r="G64" s="26" t="s">
        <v>33</v>
      </c>
      <c r="H64" s="2" t="s">
        <v>166</v>
      </c>
      <c r="I64" s="88">
        <v>0.5</v>
      </c>
      <c r="J64" s="10">
        <v>0.79</v>
      </c>
      <c r="K64" s="10">
        <v>0.6</v>
      </c>
      <c r="L64" s="10">
        <f t="shared" si="2"/>
        <v>0.75949367088607589</v>
      </c>
      <c r="M64" s="91">
        <f t="shared" si="8"/>
        <v>0.19000000000000006</v>
      </c>
      <c r="N64" s="52">
        <v>59933.98</v>
      </c>
      <c r="O64" s="46">
        <f>29966.99</f>
        <v>29966.99</v>
      </c>
      <c r="P64" s="46">
        <f>28524.8</f>
        <v>28524.799999999999</v>
      </c>
      <c r="Q64" s="23">
        <f>O64-P64</f>
        <v>1442.1900000000023</v>
      </c>
      <c r="R64" s="10">
        <f t="shared" si="9"/>
        <v>0.95187404540796383</v>
      </c>
      <c r="S64" s="2"/>
    </row>
    <row r="65" spans="1:19" ht="36" x14ac:dyDescent="0.25">
      <c r="A65" s="99"/>
      <c r="B65" s="11">
        <v>55</v>
      </c>
      <c r="C65" s="12">
        <v>6.4999999999999902</v>
      </c>
      <c r="D65" s="49" t="s">
        <v>168</v>
      </c>
      <c r="E65" s="49" t="s">
        <v>169</v>
      </c>
      <c r="F65" s="1" t="s">
        <v>45</v>
      </c>
      <c r="G65" s="26" t="s">
        <v>33</v>
      </c>
      <c r="H65" s="35" t="s">
        <v>170</v>
      </c>
      <c r="I65" s="10">
        <v>0.8</v>
      </c>
      <c r="J65" s="10">
        <v>0.88</v>
      </c>
      <c r="K65" s="10">
        <v>0.7</v>
      </c>
      <c r="L65" s="10">
        <f t="shared" si="2"/>
        <v>0.79545454545454541</v>
      </c>
      <c r="M65" s="91">
        <f>J65-K65</f>
        <v>0.18000000000000005</v>
      </c>
      <c r="N65" s="52">
        <v>1238970.98</v>
      </c>
      <c r="O65" s="46">
        <f>512815+512815+230200+243068.98</f>
        <v>1498898.98</v>
      </c>
      <c r="P65" s="46">
        <v>1463670</v>
      </c>
      <c r="Q65" s="23">
        <f>O65-P65</f>
        <v>35228.979999999981</v>
      </c>
      <c r="R65" s="10">
        <f t="shared" si="9"/>
        <v>0.97649676164300281</v>
      </c>
      <c r="S65" s="2"/>
    </row>
    <row r="66" spans="1:19" ht="27" x14ac:dyDescent="0.25">
      <c r="A66" s="99"/>
      <c r="B66" s="19">
        <v>56</v>
      </c>
      <c r="C66" s="20">
        <v>6.5999999999999899</v>
      </c>
      <c r="D66" s="55" t="s">
        <v>166</v>
      </c>
      <c r="E66" s="31" t="s">
        <v>167</v>
      </c>
      <c r="F66" s="35" t="s">
        <v>45</v>
      </c>
      <c r="G66" s="26" t="s">
        <v>33</v>
      </c>
      <c r="H66" s="2" t="s">
        <v>166</v>
      </c>
      <c r="I66" s="88">
        <v>0.5</v>
      </c>
      <c r="J66" s="10">
        <v>0.9</v>
      </c>
      <c r="K66" s="10">
        <v>0.8</v>
      </c>
      <c r="L66" s="10">
        <f t="shared" si="2"/>
        <v>0.88888888888888895</v>
      </c>
      <c r="M66" s="91">
        <f t="shared" ref="M66:M71" si="10">J66-K66</f>
        <v>9.9999999999999978E-2</v>
      </c>
      <c r="N66" s="46">
        <f>O66</f>
        <v>2683373.98</v>
      </c>
      <c r="O66" s="46">
        <f>795344+795344+548408+544277.98</f>
        <v>2683373.98</v>
      </c>
      <c r="P66" s="46">
        <v>2655675.98</v>
      </c>
      <c r="Q66" s="23">
        <f>O66-P66</f>
        <v>27698</v>
      </c>
      <c r="R66" s="10">
        <f t="shared" si="9"/>
        <v>0.9896779203322229</v>
      </c>
      <c r="S66" s="2"/>
    </row>
    <row r="67" spans="1:19" ht="27" x14ac:dyDescent="0.25">
      <c r="A67" s="99"/>
      <c r="B67" s="19">
        <v>57</v>
      </c>
      <c r="C67" s="20">
        <v>6.6999999999999904</v>
      </c>
      <c r="D67" s="55" t="s">
        <v>166</v>
      </c>
      <c r="E67" s="31" t="s">
        <v>167</v>
      </c>
      <c r="F67" s="35" t="s">
        <v>45</v>
      </c>
      <c r="G67" s="26" t="s">
        <v>33</v>
      </c>
      <c r="H67" s="2" t="s">
        <v>166</v>
      </c>
      <c r="I67" s="88">
        <v>0.5</v>
      </c>
      <c r="J67" s="10">
        <v>0.96</v>
      </c>
      <c r="K67" s="10">
        <v>0.77</v>
      </c>
      <c r="L67" s="10">
        <f t="shared" si="2"/>
        <v>0.80208333333333337</v>
      </c>
      <c r="M67" s="91">
        <f t="shared" si="10"/>
        <v>0.18999999999999995</v>
      </c>
      <c r="N67" s="56">
        <f>O67</f>
        <v>447935.27</v>
      </c>
      <c r="O67" s="46">
        <f>164000+164000+119935.27</f>
        <v>447935.27</v>
      </c>
      <c r="P67" s="46">
        <v>410008</v>
      </c>
      <c r="Q67" s="23">
        <f t="shared" ref="Q67:Q71" si="11">O67-P67</f>
        <v>37927.270000000019</v>
      </c>
      <c r="R67" s="10">
        <f t="shared" si="9"/>
        <v>0.91532868130701117</v>
      </c>
      <c r="S67" s="2"/>
    </row>
    <row r="68" spans="1:19" ht="27" x14ac:dyDescent="0.25">
      <c r="A68" s="99"/>
      <c r="B68" s="11">
        <v>58</v>
      </c>
      <c r="C68" s="12">
        <v>6.7999999999999901</v>
      </c>
      <c r="D68" s="55" t="s">
        <v>166</v>
      </c>
      <c r="E68" s="31" t="s">
        <v>167</v>
      </c>
      <c r="F68" s="35" t="s">
        <v>45</v>
      </c>
      <c r="G68" s="26" t="s">
        <v>33</v>
      </c>
      <c r="H68" s="2" t="s">
        <v>166</v>
      </c>
      <c r="I68" s="88">
        <v>0.5</v>
      </c>
      <c r="J68" s="10">
        <v>0.65</v>
      </c>
      <c r="K68" s="10">
        <v>0.4</v>
      </c>
      <c r="L68" s="10">
        <f t="shared" si="2"/>
        <v>0.61538461538461542</v>
      </c>
      <c r="M68" s="91">
        <f t="shared" si="10"/>
        <v>0.25</v>
      </c>
      <c r="N68" s="46">
        <v>31934.98</v>
      </c>
      <c r="O68" s="46">
        <f>9400+9400+7035+8600</f>
        <v>34435</v>
      </c>
      <c r="P68" s="46">
        <f>9400+9400+7035+8600</f>
        <v>34435</v>
      </c>
      <c r="Q68" s="23">
        <f t="shared" si="11"/>
        <v>0</v>
      </c>
      <c r="R68" s="10">
        <f t="shared" si="9"/>
        <v>1</v>
      </c>
      <c r="S68" s="2"/>
    </row>
    <row r="69" spans="1:19" ht="27" x14ac:dyDescent="0.25">
      <c r="A69" s="99"/>
      <c r="B69" s="19">
        <v>59</v>
      </c>
      <c r="C69" s="20">
        <v>6.8999999999999897</v>
      </c>
      <c r="D69" s="55" t="s">
        <v>166</v>
      </c>
      <c r="E69" s="31" t="s">
        <v>167</v>
      </c>
      <c r="F69" s="35" t="s">
        <v>45</v>
      </c>
      <c r="G69" s="26" t="s">
        <v>33</v>
      </c>
      <c r="H69" s="2" t="s">
        <v>166</v>
      </c>
      <c r="I69" s="88">
        <v>0.5</v>
      </c>
      <c r="J69" s="10">
        <v>0.98</v>
      </c>
      <c r="K69" s="10">
        <v>0.87</v>
      </c>
      <c r="L69" s="10">
        <f t="shared" si="2"/>
        <v>0.88775510204081631</v>
      </c>
      <c r="M69" s="91">
        <f t="shared" si="10"/>
        <v>0.10999999999999999</v>
      </c>
      <c r="N69" s="56">
        <f>O69</f>
        <v>158301.5</v>
      </c>
      <c r="O69" s="46">
        <f>75940+75940+3211+3210.5</f>
        <v>158301.5</v>
      </c>
      <c r="P69" s="46">
        <f>O69</f>
        <v>158301.5</v>
      </c>
      <c r="Q69" s="23">
        <f t="shared" si="11"/>
        <v>0</v>
      </c>
      <c r="R69" s="10">
        <v>1</v>
      </c>
      <c r="S69" s="2"/>
    </row>
    <row r="70" spans="1:19" ht="27" x14ac:dyDescent="0.25">
      <c r="A70" s="99"/>
      <c r="B70" s="19">
        <v>60</v>
      </c>
      <c r="C70" s="20">
        <v>6.9999999999999902</v>
      </c>
      <c r="D70" s="55" t="s">
        <v>166</v>
      </c>
      <c r="E70" s="31" t="s">
        <v>167</v>
      </c>
      <c r="F70" s="35" t="s">
        <v>45</v>
      </c>
      <c r="G70" s="26" t="s">
        <v>33</v>
      </c>
      <c r="H70" s="2" t="s">
        <v>166</v>
      </c>
      <c r="I70" s="88">
        <v>1.5</v>
      </c>
      <c r="J70" s="10">
        <v>0.75</v>
      </c>
      <c r="K70" s="10">
        <v>0.4</v>
      </c>
      <c r="L70" s="10">
        <f t="shared" si="2"/>
        <v>0.53333333333333333</v>
      </c>
      <c r="M70" s="91">
        <f t="shared" si="10"/>
        <v>0.35</v>
      </c>
      <c r="N70" s="46">
        <v>341575</v>
      </c>
      <c r="O70" s="46">
        <f>85211+54437+85211</f>
        <v>224859</v>
      </c>
      <c r="P70" s="46">
        <f>O70</f>
        <v>224859</v>
      </c>
      <c r="Q70" s="23">
        <f t="shared" si="11"/>
        <v>0</v>
      </c>
      <c r="R70" s="10" t="s">
        <v>35</v>
      </c>
      <c r="S70" s="2"/>
    </row>
    <row r="71" spans="1:19" ht="27" x14ac:dyDescent="0.25">
      <c r="A71" s="99"/>
      <c r="B71" s="11">
        <v>61</v>
      </c>
      <c r="C71" s="12">
        <v>7.0999999999999899</v>
      </c>
      <c r="D71" s="55" t="s">
        <v>166</v>
      </c>
      <c r="E71" s="31" t="s">
        <v>167</v>
      </c>
      <c r="F71" s="35" t="s">
        <v>45</v>
      </c>
      <c r="G71" s="26" t="s">
        <v>33</v>
      </c>
      <c r="H71" s="2" t="s">
        <v>166</v>
      </c>
      <c r="I71" s="88">
        <v>2.5</v>
      </c>
      <c r="J71" s="10">
        <v>0.8</v>
      </c>
      <c r="K71" s="10">
        <v>0.45</v>
      </c>
      <c r="L71" s="10">
        <f t="shared" si="2"/>
        <v>0.5625</v>
      </c>
      <c r="M71" s="91">
        <f t="shared" si="10"/>
        <v>0.35000000000000003</v>
      </c>
      <c r="N71" s="56">
        <v>81935</v>
      </c>
      <c r="O71" s="56">
        <f>17710+17710+9240</f>
        <v>44660</v>
      </c>
      <c r="P71" s="56">
        <f>17710+17710+9240</f>
        <v>44660</v>
      </c>
      <c r="Q71" s="23">
        <f t="shared" si="11"/>
        <v>0</v>
      </c>
      <c r="R71" s="10">
        <f>P71/O71</f>
        <v>1</v>
      </c>
      <c r="S71" s="2"/>
    </row>
    <row r="72" spans="1:19" ht="45" x14ac:dyDescent="0.25">
      <c r="A72" s="99"/>
      <c r="B72" s="19">
        <v>62</v>
      </c>
      <c r="C72" s="20">
        <v>7.1999999999999904</v>
      </c>
      <c r="D72" s="25" t="s">
        <v>171</v>
      </c>
      <c r="E72" s="21" t="s">
        <v>172</v>
      </c>
      <c r="F72" s="35" t="s">
        <v>159</v>
      </c>
      <c r="G72" s="26" t="s">
        <v>33</v>
      </c>
      <c r="H72" s="35" t="s">
        <v>155</v>
      </c>
      <c r="I72" s="10">
        <v>1</v>
      </c>
      <c r="J72" s="10">
        <v>1</v>
      </c>
      <c r="K72" s="10">
        <v>0.9</v>
      </c>
      <c r="L72" s="10">
        <f t="shared" si="2"/>
        <v>0.9</v>
      </c>
      <c r="M72" s="91">
        <f t="shared" si="8"/>
        <v>9.9999999999999978E-2</v>
      </c>
      <c r="N72" s="94">
        <f>O72</f>
        <v>63794114</v>
      </c>
      <c r="O72" s="56">
        <v>63794114</v>
      </c>
      <c r="P72" s="56">
        <f>O72</f>
        <v>63794114</v>
      </c>
      <c r="Q72" s="23">
        <f>O72-P72</f>
        <v>0</v>
      </c>
      <c r="R72" s="10">
        <v>1</v>
      </c>
      <c r="S72" s="2"/>
    </row>
    <row r="73" spans="1:19" x14ac:dyDescent="0.25">
      <c r="A73" s="99"/>
      <c r="B73" s="19"/>
      <c r="C73" s="58"/>
      <c r="D73" s="25"/>
      <c r="E73" s="21"/>
      <c r="F73" s="35"/>
      <c r="G73" s="26"/>
      <c r="H73" s="35"/>
      <c r="I73" s="10"/>
      <c r="J73" s="10"/>
      <c r="K73" s="10"/>
      <c r="L73" s="10"/>
      <c r="M73" s="91"/>
      <c r="N73" s="24"/>
      <c r="O73" s="51"/>
      <c r="P73" s="51"/>
      <c r="Q73" s="23"/>
      <c r="R73" s="10"/>
      <c r="S73" s="2"/>
    </row>
    <row r="74" spans="1:19" x14ac:dyDescent="0.25">
      <c r="A74" s="99"/>
      <c r="B74" s="59"/>
      <c r="C74" s="60"/>
      <c r="D74" s="1"/>
      <c r="E74" s="1"/>
      <c r="F74" s="1"/>
      <c r="G74" s="1"/>
      <c r="H74" s="1"/>
      <c r="I74" s="81"/>
      <c r="J74" s="10"/>
      <c r="K74" s="10"/>
      <c r="L74" s="61"/>
      <c r="M74" s="91"/>
      <c r="N74" s="52">
        <v>81935</v>
      </c>
      <c r="O74" s="51"/>
      <c r="P74" s="51"/>
      <c r="Q74" s="23"/>
      <c r="R74" s="10"/>
      <c r="S74" s="2"/>
    </row>
    <row r="75" spans="1:19" x14ac:dyDescent="0.25">
      <c r="A75" s="99"/>
      <c r="B75" s="102" t="s">
        <v>173</v>
      </c>
      <c r="C75" s="102"/>
      <c r="D75" s="102"/>
      <c r="E75" s="102"/>
      <c r="F75" s="102"/>
      <c r="G75" s="102"/>
      <c r="H75" s="102"/>
      <c r="I75" s="102"/>
      <c r="J75" s="62"/>
      <c r="K75" s="62"/>
      <c r="L75" s="62"/>
      <c r="M75" s="79"/>
      <c r="N75" s="46">
        <v>62841.78</v>
      </c>
      <c r="O75" s="63">
        <f>SUM(O62:O74)+SUM(O12:O61)</f>
        <v>75238607.559999987</v>
      </c>
      <c r="P75" s="64">
        <f>SUM(P62:P74)+SUM(P12:P61)</f>
        <v>75238608.069999993</v>
      </c>
      <c r="Q75" s="63">
        <v>0</v>
      </c>
      <c r="R75" s="10">
        <f>P75/O75</f>
        <v>1.0000000067784349</v>
      </c>
      <c r="S75" s="2"/>
    </row>
    <row r="76" spans="1:19" x14ac:dyDescent="0.25">
      <c r="A76" s="101"/>
      <c r="B76" s="65"/>
      <c r="C76" s="65"/>
      <c r="D76" s="66"/>
      <c r="E76" s="66"/>
      <c r="F76" s="66"/>
      <c r="G76" s="65"/>
      <c r="H76" s="65"/>
      <c r="I76" s="89"/>
      <c r="J76" s="66"/>
      <c r="K76" s="66"/>
      <c r="L76" s="66"/>
      <c r="M76" s="89"/>
      <c r="N76" s="46">
        <f>SUM(N11:N75)</f>
        <v>75238607.540000007</v>
      </c>
      <c r="O76" s="66"/>
      <c r="P76" s="67"/>
      <c r="Q76" s="68"/>
      <c r="R76" s="68"/>
      <c r="S76" s="68"/>
    </row>
    <row r="77" spans="1:19" x14ac:dyDescent="0.25">
      <c r="A77" s="66"/>
      <c r="B77" s="69" t="s">
        <v>174</v>
      </c>
      <c r="C77" s="65"/>
      <c r="D77" s="65"/>
      <c r="E77" s="65"/>
      <c r="F77" s="65"/>
      <c r="G77" s="65"/>
      <c r="H77" s="65"/>
      <c r="I77" s="69"/>
      <c r="J77" s="65"/>
      <c r="K77" s="65"/>
      <c r="L77" s="65"/>
      <c r="M77" s="69"/>
      <c r="N77" s="57"/>
      <c r="O77" s="65"/>
      <c r="P77" s="65"/>
      <c r="Q77" s="68"/>
      <c r="R77" s="68"/>
      <c r="S77" s="68"/>
    </row>
    <row r="78" spans="1:19" x14ac:dyDescent="0.25">
      <c r="A78" s="65"/>
      <c r="B78" s="65" t="s">
        <v>175</v>
      </c>
      <c r="C78" s="70"/>
      <c r="D78" s="65"/>
      <c r="E78" s="65"/>
      <c r="F78" s="70"/>
      <c r="G78" s="24"/>
      <c r="H78" s="65"/>
      <c r="I78" s="72"/>
      <c r="J78" s="68"/>
      <c r="K78" s="68"/>
      <c r="L78" s="68"/>
      <c r="M78" s="72"/>
      <c r="N78" s="86"/>
      <c r="O78" s="68"/>
      <c r="P78" s="68"/>
      <c r="Q78" s="73"/>
      <c r="R78" s="126"/>
      <c r="S78" s="68"/>
    </row>
    <row r="79" spans="1:19" x14ac:dyDescent="0.25">
      <c r="A79" s="65"/>
      <c r="B79" s="65" t="s">
        <v>176</v>
      </c>
      <c r="C79" s="70"/>
      <c r="D79" s="65"/>
      <c r="E79" s="65"/>
      <c r="F79" s="65"/>
      <c r="G79" s="24"/>
      <c r="H79" s="68"/>
      <c r="I79" s="72"/>
      <c r="J79" s="68"/>
      <c r="K79" s="68"/>
      <c r="L79" s="68"/>
      <c r="M79" s="72"/>
      <c r="N79" s="84"/>
      <c r="O79" s="68"/>
      <c r="P79" s="68"/>
      <c r="Q79" s="127"/>
      <c r="R79" s="128"/>
      <c r="S79" s="68"/>
    </row>
    <row r="80" spans="1:19" x14ac:dyDescent="0.25">
      <c r="A80" s="65"/>
      <c r="B80" s="68" t="s">
        <v>177</v>
      </c>
      <c r="C80" s="70"/>
      <c r="D80" s="68"/>
      <c r="E80" s="71"/>
      <c r="F80" s="68"/>
      <c r="G80" s="24"/>
      <c r="H80" s="68"/>
      <c r="I80" s="72"/>
      <c r="J80" s="68"/>
      <c r="K80" s="68"/>
      <c r="L80" s="68"/>
      <c r="M80" s="72"/>
      <c r="N80" s="85"/>
      <c r="O80" s="68"/>
      <c r="P80" s="72"/>
      <c r="Q80" s="74"/>
      <c r="R80" s="74"/>
      <c r="S80" s="68"/>
    </row>
    <row r="81" spans="1:19" x14ac:dyDescent="0.25">
      <c r="A81" s="65"/>
      <c r="B81" s="68"/>
      <c r="C81" s="68"/>
      <c r="D81" s="68"/>
      <c r="E81" s="71"/>
      <c r="F81" s="68"/>
      <c r="G81" s="24"/>
      <c r="H81" s="68"/>
      <c r="I81" s="72"/>
      <c r="J81" s="73"/>
      <c r="K81" s="73"/>
      <c r="L81" s="68"/>
      <c r="M81" s="73"/>
      <c r="N81" s="86"/>
      <c r="O81" s="72"/>
      <c r="P81" s="73"/>
      <c r="Q81" s="74"/>
      <c r="R81" s="74"/>
      <c r="S81" s="68"/>
    </row>
    <row r="82" spans="1:19" x14ac:dyDescent="0.25">
      <c r="A82" s="24"/>
      <c r="B82" s="24"/>
      <c r="C82" s="24"/>
      <c r="D82" s="24"/>
      <c r="E82" s="24"/>
      <c r="F82" s="24"/>
      <c r="G82" s="24"/>
      <c r="H82" s="24"/>
      <c r="I82" s="129"/>
      <c r="J82" s="86"/>
      <c r="K82" s="86"/>
      <c r="L82" s="86"/>
      <c r="M82" s="129"/>
      <c r="N82" s="87"/>
      <c r="O82" s="86"/>
      <c r="P82" s="86"/>
      <c r="Q82" s="86"/>
      <c r="R82" s="86"/>
      <c r="S82" s="86"/>
    </row>
    <row r="83" spans="1:19" x14ac:dyDescent="0.25">
      <c r="I83" s="130"/>
      <c r="J83" s="131"/>
      <c r="K83" s="131"/>
      <c r="L83" s="131"/>
      <c r="M83" s="130"/>
      <c r="N83" s="76"/>
      <c r="O83" s="131"/>
      <c r="P83" s="131"/>
      <c r="Q83" s="131"/>
      <c r="R83" s="131"/>
      <c r="S83" s="131"/>
    </row>
    <row r="84" spans="1:19" x14ac:dyDescent="0.25">
      <c r="I84" s="130"/>
      <c r="J84" s="131"/>
      <c r="K84" s="131"/>
      <c r="L84" s="131"/>
      <c r="M84" s="130"/>
      <c r="N84" s="76"/>
      <c r="O84" s="131"/>
      <c r="P84" s="131"/>
      <c r="Q84" s="131"/>
      <c r="R84" s="131"/>
      <c r="S84" s="131"/>
    </row>
    <row r="85" spans="1:19" x14ac:dyDescent="0.25">
      <c r="N85" s="75"/>
    </row>
    <row r="86" spans="1:19" x14ac:dyDescent="0.25">
      <c r="N86" s="75"/>
    </row>
    <row r="87" spans="1:19" x14ac:dyDescent="0.25">
      <c r="N87" s="76"/>
    </row>
  </sheetData>
  <mergeCells count="33">
    <mergeCell ref="A1:S1"/>
    <mergeCell ref="A2:S2"/>
    <mergeCell ref="A3:S3"/>
    <mergeCell ref="A4:S4"/>
    <mergeCell ref="A5:D5"/>
    <mergeCell ref="E5:S5"/>
    <mergeCell ref="A6:D6"/>
    <mergeCell ref="E6:S6"/>
    <mergeCell ref="A7:D7"/>
    <mergeCell ref="E7:S7"/>
    <mergeCell ref="A9:A10"/>
    <mergeCell ref="B9:B10"/>
    <mergeCell ref="C9:C10"/>
    <mergeCell ref="D9:D10"/>
    <mergeCell ref="E9:E10"/>
    <mergeCell ref="F9:F10"/>
    <mergeCell ref="P9:P10"/>
    <mergeCell ref="Q9:Q10"/>
    <mergeCell ref="R9:R10"/>
    <mergeCell ref="S9:S10"/>
    <mergeCell ref="N9:N10"/>
    <mergeCell ref="O9:O10"/>
    <mergeCell ref="A26:A33"/>
    <mergeCell ref="G9:G10"/>
    <mergeCell ref="H9:H10"/>
    <mergeCell ref="I9:I10"/>
    <mergeCell ref="J9:M9"/>
    <mergeCell ref="A11:A25"/>
    <mergeCell ref="A34:A40"/>
    <mergeCell ref="A41:A50"/>
    <mergeCell ref="A51:A59"/>
    <mergeCell ref="A60:A76"/>
    <mergeCell ref="B75:I75"/>
  </mergeCells>
  <printOptions horizontalCentered="1"/>
  <pageMargins left="0.31496062992125984" right="0.51181102362204722" top="0.74803149606299213" bottom="0.74803149606299213" header="0.31496062992125984" footer="0.31496062992125984"/>
  <pageSetup scale="59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</dc:creator>
  <cp:lastModifiedBy>R-FINANCIEROS</cp:lastModifiedBy>
  <cp:lastPrinted>2025-04-10T22:48:31Z</cp:lastPrinted>
  <dcterms:created xsi:type="dcterms:W3CDTF">2025-03-24T14:12:10Z</dcterms:created>
  <dcterms:modified xsi:type="dcterms:W3CDTF">2025-04-10T22:58:30Z</dcterms:modified>
</cp:coreProperties>
</file>